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95" windowHeight="7530" tabRatio="858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0" hidden="1">'Otras Transf_Universidades'!$CA$3:$CJ$55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sharedStrings.xml><?xml version="1.0" encoding="utf-8"?>
<sst xmlns="http://schemas.openxmlformats.org/spreadsheetml/2006/main" count="344" uniqueCount="211">
  <si>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</si>
  <si>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</si>
  <si>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</si>
  <si>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</si>
  <si>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</si>
  <si>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</si>
  <si>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</si>
  <si>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</si>
  <si>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</si>
  <si>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</si>
  <si>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</si>
  <si>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</si>
  <si>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</si>
  <si>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</si>
  <si>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</si>
  <si>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</si>
  <si>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</si>
  <si>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</si>
  <si>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</si>
  <si>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</si>
  <si>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</si>
  <si>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</si>
  <si>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</si>
  <si>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</si>
  <si>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</si>
  <si>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</si>
  <si>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</si>
  <si>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</si>
  <si>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</si>
  <si>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</si>
  <si>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</si>
  <si>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</si>
  <si>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</si>
  <si>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</si>
  <si>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</si>
  <si>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</si>
  <si>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</si>
  <si>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</si>
  <si>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</si>
  <si>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</si>
  <si>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</si>
  <si>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</si>
  <si>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</si>
  <si>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</si>
  <si>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</si>
  <si>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</si>
  <si>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</si>
  <si>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</si>
  <si>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</si>
  <si>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</si>
  <si>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</si>
  <si>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</si>
  <si>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</si>
  <si>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</si>
  <si>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</si>
  <si>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</si>
  <si>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</si>
  <si>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</si>
  <si>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</si>
  <si>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</si>
  <si>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</si>
  <si>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</si>
  <si>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</si>
  <si>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</si>
  <si>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</si>
  <si>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</si>
  <si>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</si>
  <si>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</si>
  <si>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</si>
  <si>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</si>
  <si>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</si>
  <si>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</si>
  <si>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</si>
  <si>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</si>
  <si>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</si>
  <si>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</si>
  <si>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</si>
  <si>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</si>
  <si>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</si>
  <si>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</si>
  <si>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</si>
  <si>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</si>
  <si>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</si>
  <si>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</si>
  <si>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</si>
  <si>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</si>
  <si>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</si>
  <si>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</si>
  <si>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</si>
  <si>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</si>
  <si>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</si>
  <si>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</si>
  <si>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</si>
  <si>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</si>
  <si>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</si>
  <si>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</si>
  <si>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</si>
  <si>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</si>
  <si>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</si>
  <si>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</si>
  <si>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</si>
  <si>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</si>
  <si>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</si>
  <si>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</si>
  <si>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</si>
  <si>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</si>
  <si>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</si>
  <si>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</si>
  <si>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</si>
  <si>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</si>
  <si>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</si>
  <si>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</si>
  <si>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</si>
  <si>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</si>
  <si>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</si>
  <si>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</si>
  <si>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</si>
  <si>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</si>
  <si>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</si>
  <si>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</si>
  <si>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</si>
  <si>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</si>
  <si>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</si>
  <si>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</si>
  <si>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</si>
  <si>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</si>
  <si>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</si>
  <si>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</si>
  <si>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</si>
  <si>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</si>
  <si>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</si>
  <si>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</si>
  <si>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</si>
  <si>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</si>
  <si>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</si>
  <si>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</si>
  <si>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</si>
  <si>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</si>
  <si>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</si>
  <si>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</si>
  <si>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</si>
  <si>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</si>
  <si>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</si>
  <si>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</si>
  <si>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</si>
  <si>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</si>
  <si>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</si>
  <si>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</si>
  <si>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</si>
  <si>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</si>
  <si>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</si>
  <si>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</si>
  <si>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</si>
  <si>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</si>
  <si>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</si>
  <si>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</si>
  <si>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</si>
  <si>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</si>
  <si>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</si>
  <si>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</si>
  <si>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</si>
  <si>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</si>
  <si>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</si>
  <si>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</si>
  <si>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</si>
  <si>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542303 Para gastos de funcionamiento Resolucion No. 6740</t>
  </si>
  <si>
    <t>DTO VOTACION FUNCIONAMIENTO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</si>
  <si>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</si>
  <si>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</si>
  <si>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</si>
  <si>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</si>
  <si>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</si>
  <si>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contabilidad@guadalajaradebuga-valle.gov.co; monica.calle@correounivalle.edu.co</t>
  </si>
  <si>
    <t>jorge.aldana@unad.edu.co; luis.campos@unad.edu.co</t>
  </si>
  <si>
    <t>luzdary@utp.edu.co; dipaga@utp.edu.co</t>
  </si>
  <si>
    <t>MOVIMIENTOS DE JULIO</t>
  </si>
  <si>
    <t>SALDOS A 30 JULIO DEL 2012</t>
  </si>
  <si>
    <t>ruth.garcia@unicolmayor.edu.co</t>
  </si>
  <si>
    <t>MOVIMIENTOS DE AGOSTO</t>
  </si>
  <si>
    <t>SALDOS A 31 DE AGOSTO DEL 2012</t>
  </si>
  <si>
    <t>244023 Contribuciones</t>
  </si>
  <si>
    <t>SALDOS DE CUENTAS - OTRAS TRANSFERENCIAS</t>
  </si>
  <si>
    <t>MOVIMIENTOS DE SEPTIEMBRE</t>
  </si>
  <si>
    <t>SALDOS A 30 DE SEPTIEMBRE DEL 2012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</si>
  <si>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</si>
  <si>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</si>
  <si>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</si>
  <si>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</si>
  <si>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</si>
  <si>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</si>
  <si>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</si>
  <si>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</si>
  <si>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</si>
  <si>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</si>
  <si>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</si>
  <si>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</si>
  <si>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</si>
  <si>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</si>
  <si>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</si>
  <si>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</si>
  <si>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</si>
  <si>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</si>
  <si>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rector@correounivalle.edu.co; monica.calle@correounivalle.edu.co;alexandra.collazos@correounivalle.edu.co</t>
  </si>
  <si>
    <t>rodolforondon@yahoo.com; rector@mail.uniatlantico.edu.co</t>
  </si>
  <si>
    <t>jmlopez@ut.edu.co; jairocontador@latinmail.com</t>
  </si>
  <si>
    <t>contabil@ucaldas.edu.co; julian.castano_l@ucaldas.edu.co</t>
  </si>
  <si>
    <t>jossa@uceva.edu.co; monica.calle@correounivalle.edu.co</t>
  </si>
  <si>
    <t>MOVIMIENTOS DE OCTUBRE</t>
  </si>
  <si>
    <t>SALDOS A 30 DE OCTUBRE DEL 2012</t>
  </si>
  <si>
    <t>Octubre</t>
  </si>
  <si>
    <t>Total Octubre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</si>
</sst>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0" fillId="0" borderId="16" xfId="0" applyFont="1" applyBorder="1" applyAlignment="1">
      <alignment vertical="top"/>
    </xf>
    <xf numFmtId="3" fontId="12" fillId="0" borderId="17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2" fillId="36" borderId="10" xfId="54" applyFont="1" applyFill="1" applyBorder="1" applyAlignment="1">
      <alignment/>
      <protection/>
    </xf>
    <xf numFmtId="0" fontId="2" fillId="37" borderId="10" xfId="54" applyFont="1" applyFill="1" applyBorder="1" applyAlignment="1">
      <alignment/>
      <protection/>
    </xf>
    <xf numFmtId="1" fontId="2" fillId="19" borderId="10" xfId="54" applyNumberFormat="1" applyFill="1" applyBorder="1" applyAlignment="1">
      <alignment/>
      <protection/>
    </xf>
    <xf numFmtId="0" fontId="2" fillId="19" borderId="10" xfId="54" applyFont="1" applyFill="1" applyBorder="1" applyAlignment="1">
      <alignment/>
      <protection/>
    </xf>
    <xf numFmtId="0" fontId="2" fillId="17" borderId="10" xfId="54" applyFon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6" fillId="15" borderId="10" xfId="46" applyFill="1" applyBorder="1" applyAlignment="1" applyProtection="1">
      <alignment/>
      <protection/>
    </xf>
    <xf numFmtId="165" fontId="12" fillId="38" borderId="18" xfId="48" applyNumberFormat="1" applyFont="1" applyFill="1" applyBorder="1" applyAlignment="1">
      <alignment horizontal="center" wrapText="1"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0"/>
  <sheetViews>
    <sheetView tabSelected="1" zoomScale="90" zoomScaleNormal="90" zoomScalePageLayoutView="0" workbookViewId="0" topLeftCell="A1">
      <pane xSplit="4" ySplit="3" topLeftCell="CG2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I37" sqref="CI37"/>
    </sheetView>
  </sheetViews>
  <sheetFormatPr defaultColWidth="11.421875" defaultRowHeight="15"/>
  <cols>
    <col min="1" max="1" width="13.8515625" style="20" customWidth="1"/>
    <col min="2" max="2" width="12.7109375" style="20" customWidth="1"/>
    <col min="3" max="3" width="14.57421875" style="20" customWidth="1"/>
    <col min="4" max="4" width="57.42187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59" width="23.140625" style="20" bestFit="1" customWidth="1"/>
    <col min="60" max="60" width="15.7109375" style="20" customWidth="1"/>
    <col min="61" max="61" width="20.140625" style="20" bestFit="1" customWidth="1"/>
    <col min="62" max="62" width="17.57421875" style="20" bestFit="1" customWidth="1"/>
    <col min="63" max="63" width="17.57421875" style="20" customWidth="1"/>
    <col min="64" max="64" width="20.00390625" style="20" bestFit="1" customWidth="1"/>
    <col min="65" max="65" width="18.8515625" style="20" bestFit="1" customWidth="1"/>
    <col min="66" max="66" width="21.57421875" style="20" bestFit="1" customWidth="1"/>
    <col min="67" max="67" width="18.8515625" style="20" bestFit="1" customWidth="1"/>
    <col min="68" max="68" width="17.57421875" style="20" bestFit="1" customWidth="1"/>
    <col min="69" max="69" width="18.421875" style="20" customWidth="1"/>
    <col min="70" max="70" width="16.28125" style="20" customWidth="1"/>
    <col min="71" max="71" width="19.57421875" style="20" customWidth="1"/>
    <col min="72" max="73" width="19.8515625" style="20" bestFit="1" customWidth="1"/>
    <col min="74" max="74" width="20.7109375" style="20" bestFit="1" customWidth="1"/>
    <col min="75" max="75" width="21.57421875" style="20" bestFit="1" customWidth="1"/>
    <col min="76" max="76" width="22.00390625" style="20" customWidth="1"/>
    <col min="77" max="78" width="18.8515625" style="20" bestFit="1" customWidth="1"/>
    <col min="79" max="79" width="19.8515625" style="20" customWidth="1"/>
    <col min="80" max="80" width="19.57421875" style="20" customWidth="1"/>
    <col min="81" max="81" width="20.140625" style="20" bestFit="1" customWidth="1"/>
    <col min="82" max="83" width="17.57421875" style="20" bestFit="1" customWidth="1"/>
    <col min="84" max="84" width="20.00390625" style="20" bestFit="1" customWidth="1"/>
    <col min="85" max="85" width="18.8515625" style="20" bestFit="1" customWidth="1"/>
    <col min="86" max="86" width="21.57421875" style="20" bestFit="1" customWidth="1"/>
    <col min="87" max="88" width="18.8515625" style="20" bestFit="1" customWidth="1"/>
    <col min="89" max="16384" width="11.421875" style="20" customWidth="1"/>
  </cols>
  <sheetData>
    <row r="1" spans="1:12" s="5" customFormat="1" ht="30.75" customHeight="1">
      <c r="A1" s="1" t="s">
        <v>181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88" s="7" customFormat="1" ht="22.5" customHeight="1">
      <c r="A2" s="6"/>
      <c r="B2" s="6"/>
      <c r="C2" s="6"/>
      <c r="D2" s="6"/>
      <c r="E2" s="6"/>
      <c r="F2" s="91" t="s">
        <v>0</v>
      </c>
      <c r="G2" s="92"/>
      <c r="H2" s="92"/>
      <c r="I2" s="93"/>
      <c r="J2" s="95" t="s">
        <v>156</v>
      </c>
      <c r="K2" s="96"/>
      <c r="L2" s="96"/>
      <c r="M2" s="91" t="s">
        <v>152</v>
      </c>
      <c r="N2" s="92"/>
      <c r="O2" s="92"/>
      <c r="P2" s="95" t="s">
        <v>155</v>
      </c>
      <c r="Q2" s="96"/>
      <c r="R2" s="96"/>
      <c r="S2" s="91" t="s">
        <v>153</v>
      </c>
      <c r="T2" s="92"/>
      <c r="U2" s="92"/>
      <c r="V2" s="95" t="s">
        <v>154</v>
      </c>
      <c r="W2" s="96"/>
      <c r="X2" s="96"/>
      <c r="Y2" s="91" t="s">
        <v>157</v>
      </c>
      <c r="Z2" s="92"/>
      <c r="AA2" s="92"/>
      <c r="AB2" s="94" t="s">
        <v>158</v>
      </c>
      <c r="AC2" s="94"/>
      <c r="AD2" s="94"/>
      <c r="AE2" s="94"/>
      <c r="AF2" s="91" t="s">
        <v>161</v>
      </c>
      <c r="AG2" s="92"/>
      <c r="AH2" s="92"/>
      <c r="AI2" s="93"/>
      <c r="AJ2" s="94" t="s">
        <v>162</v>
      </c>
      <c r="AK2" s="94"/>
      <c r="AL2" s="94"/>
      <c r="AM2" s="94"/>
      <c r="AN2" s="91" t="s">
        <v>163</v>
      </c>
      <c r="AO2" s="92"/>
      <c r="AP2" s="92"/>
      <c r="AQ2" s="92"/>
      <c r="AR2" s="92"/>
      <c r="AS2" s="92"/>
      <c r="AT2" s="93"/>
      <c r="AU2" s="94" t="s">
        <v>164</v>
      </c>
      <c r="AV2" s="94"/>
      <c r="AW2" s="94"/>
      <c r="AX2" s="94"/>
      <c r="AY2" s="91" t="s">
        <v>175</v>
      </c>
      <c r="AZ2" s="92"/>
      <c r="BA2" s="92"/>
      <c r="BB2" s="93"/>
      <c r="BC2" s="94" t="s">
        <v>176</v>
      </c>
      <c r="BD2" s="94"/>
      <c r="BE2" s="94"/>
      <c r="BF2" s="94"/>
      <c r="BG2" s="91" t="s">
        <v>178</v>
      </c>
      <c r="BH2" s="92"/>
      <c r="BI2" s="92"/>
      <c r="BJ2" s="92"/>
      <c r="BK2" s="93"/>
      <c r="BL2" s="97" t="s">
        <v>179</v>
      </c>
      <c r="BM2" s="98"/>
      <c r="BN2" s="98"/>
      <c r="BO2" s="98"/>
      <c r="BP2" s="98"/>
      <c r="BQ2" s="91" t="s">
        <v>182</v>
      </c>
      <c r="BR2" s="92"/>
      <c r="BS2" s="92"/>
      <c r="BT2" s="92"/>
      <c r="BU2" s="93"/>
      <c r="BV2" s="97" t="s">
        <v>183</v>
      </c>
      <c r="BW2" s="98"/>
      <c r="BX2" s="98"/>
      <c r="BY2" s="98"/>
      <c r="BZ2" s="98"/>
      <c r="CA2" s="91" t="s">
        <v>207</v>
      </c>
      <c r="CB2" s="92"/>
      <c r="CC2" s="92"/>
      <c r="CD2" s="92"/>
      <c r="CE2" s="93"/>
      <c r="CF2" s="97" t="s">
        <v>208</v>
      </c>
      <c r="CG2" s="98"/>
      <c r="CH2" s="98"/>
      <c r="CI2" s="98"/>
      <c r="CJ2" s="98"/>
    </row>
    <row r="3" spans="1:88" s="13" customFormat="1" ht="48" customHeight="1">
      <c r="A3" s="8" t="s">
        <v>1</v>
      </c>
      <c r="B3" s="8" t="s">
        <v>184</v>
      </c>
      <c r="C3" s="8" t="s">
        <v>2</v>
      </c>
      <c r="D3" s="9" t="s">
        <v>3</v>
      </c>
      <c r="E3" s="8" t="s">
        <v>4</v>
      </c>
      <c r="F3" s="10" t="s">
        <v>91</v>
      </c>
      <c r="G3" s="11" t="s">
        <v>92</v>
      </c>
      <c r="H3" s="12" t="s">
        <v>93</v>
      </c>
      <c r="I3" s="11" t="s">
        <v>94</v>
      </c>
      <c r="J3" s="8" t="s">
        <v>91</v>
      </c>
      <c r="K3" s="8" t="s">
        <v>92</v>
      </c>
      <c r="L3" s="8" t="s">
        <v>93</v>
      </c>
      <c r="M3" s="10" t="s">
        <v>91</v>
      </c>
      <c r="N3" s="11" t="s">
        <v>92</v>
      </c>
      <c r="O3" s="12" t="s">
        <v>93</v>
      </c>
      <c r="P3" s="8" t="s">
        <v>91</v>
      </c>
      <c r="Q3" s="8" t="s">
        <v>92</v>
      </c>
      <c r="R3" s="8" t="s">
        <v>93</v>
      </c>
      <c r="S3" s="10" t="s">
        <v>91</v>
      </c>
      <c r="T3" s="11" t="s">
        <v>92</v>
      </c>
      <c r="U3" s="12" t="s">
        <v>93</v>
      </c>
      <c r="V3" s="8" t="s">
        <v>91</v>
      </c>
      <c r="W3" s="8" t="s">
        <v>92</v>
      </c>
      <c r="X3" s="8" t="s">
        <v>93</v>
      </c>
      <c r="Y3" s="10" t="s">
        <v>91</v>
      </c>
      <c r="Z3" s="11" t="s">
        <v>92</v>
      </c>
      <c r="AA3" s="12" t="s">
        <v>93</v>
      </c>
      <c r="AB3" s="8" t="s">
        <v>91</v>
      </c>
      <c r="AC3" s="8" t="s">
        <v>92</v>
      </c>
      <c r="AD3" s="8" t="s">
        <v>93</v>
      </c>
      <c r="AE3" s="8" t="s">
        <v>159</v>
      </c>
      <c r="AF3" s="10" t="s">
        <v>91</v>
      </c>
      <c r="AG3" s="11" t="s">
        <v>92</v>
      </c>
      <c r="AH3" s="12" t="s">
        <v>93</v>
      </c>
      <c r="AI3" s="12" t="s">
        <v>159</v>
      </c>
      <c r="AJ3" s="8" t="s">
        <v>91</v>
      </c>
      <c r="AK3" s="8" t="s">
        <v>92</v>
      </c>
      <c r="AL3" s="8" t="s">
        <v>93</v>
      </c>
      <c r="AM3" s="8" t="s">
        <v>159</v>
      </c>
      <c r="AN3" s="10" t="s">
        <v>91</v>
      </c>
      <c r="AO3" s="11" t="s">
        <v>92</v>
      </c>
      <c r="AP3" s="12" t="s">
        <v>93</v>
      </c>
      <c r="AQ3" s="71" t="s">
        <v>165</v>
      </c>
      <c r="AR3" s="74" t="s">
        <v>167</v>
      </c>
      <c r="AS3" s="73" t="s">
        <v>168</v>
      </c>
      <c r="AT3" s="12" t="s">
        <v>159</v>
      </c>
      <c r="AU3" s="8" t="s">
        <v>91</v>
      </c>
      <c r="AV3" s="8" t="s">
        <v>92</v>
      </c>
      <c r="AW3" s="8" t="s">
        <v>93</v>
      </c>
      <c r="AX3" s="8" t="s">
        <v>169</v>
      </c>
      <c r="AY3" s="10" t="s">
        <v>91</v>
      </c>
      <c r="AZ3" s="11" t="s">
        <v>92</v>
      </c>
      <c r="BA3" s="12" t="s">
        <v>93</v>
      </c>
      <c r="BB3" s="12" t="s">
        <v>159</v>
      </c>
      <c r="BC3" s="8" t="s">
        <v>91</v>
      </c>
      <c r="BD3" s="8" t="s">
        <v>92</v>
      </c>
      <c r="BE3" s="8" t="s">
        <v>93</v>
      </c>
      <c r="BF3" s="8" t="s">
        <v>169</v>
      </c>
      <c r="BG3" s="10" t="s">
        <v>91</v>
      </c>
      <c r="BH3" s="11" t="s">
        <v>92</v>
      </c>
      <c r="BI3" s="12" t="s">
        <v>93</v>
      </c>
      <c r="BJ3" s="12" t="s">
        <v>159</v>
      </c>
      <c r="BK3" s="80" t="s">
        <v>180</v>
      </c>
      <c r="BL3" s="8" t="s">
        <v>91</v>
      </c>
      <c r="BM3" s="8" t="s">
        <v>92</v>
      </c>
      <c r="BN3" s="8" t="s">
        <v>93</v>
      </c>
      <c r="BO3" s="8" t="s">
        <v>169</v>
      </c>
      <c r="BP3" s="8" t="s">
        <v>180</v>
      </c>
      <c r="BQ3" s="10" t="s">
        <v>91</v>
      </c>
      <c r="BR3" s="11" t="s">
        <v>92</v>
      </c>
      <c r="BS3" s="12" t="s">
        <v>93</v>
      </c>
      <c r="BT3" s="12" t="s">
        <v>159</v>
      </c>
      <c r="BU3" s="80" t="s">
        <v>180</v>
      </c>
      <c r="BV3" s="8" t="s">
        <v>91</v>
      </c>
      <c r="BW3" s="8" t="s">
        <v>92</v>
      </c>
      <c r="BX3" s="8" t="s">
        <v>93</v>
      </c>
      <c r="BY3" s="8" t="s">
        <v>169</v>
      </c>
      <c r="BZ3" s="8" t="s">
        <v>180</v>
      </c>
      <c r="CA3" s="10" t="s">
        <v>91</v>
      </c>
      <c r="CB3" s="11" t="s">
        <v>92</v>
      </c>
      <c r="CC3" s="12" t="s">
        <v>93</v>
      </c>
      <c r="CD3" s="12" t="s">
        <v>159</v>
      </c>
      <c r="CE3" s="80" t="s">
        <v>180</v>
      </c>
      <c r="CF3" s="8" t="s">
        <v>91</v>
      </c>
      <c r="CG3" s="8" t="s">
        <v>92</v>
      </c>
      <c r="CH3" s="8" t="s">
        <v>93</v>
      </c>
      <c r="CI3" s="8" t="s">
        <v>169</v>
      </c>
      <c r="CJ3" s="8" t="s">
        <v>180</v>
      </c>
    </row>
    <row r="4" spans="1:88" ht="12.75">
      <c r="A4" s="14">
        <v>8001189541</v>
      </c>
      <c r="B4" s="14">
        <v>800118954</v>
      </c>
      <c r="C4" s="14">
        <v>124552000</v>
      </c>
      <c r="D4" s="87" t="s">
        <v>5</v>
      </c>
      <c r="E4" s="22" t="s">
        <v>6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64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v>1257050087</v>
      </c>
      <c r="AR4" s="18">
        <v>17288810</v>
      </c>
      <c r="AS4" s="18"/>
      <c r="AT4" s="18">
        <v>440002843</v>
      </c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501629520</v>
      </c>
      <c r="AY4" s="17">
        <v>0</v>
      </c>
      <c r="AZ4" s="17"/>
      <c r="BA4" s="17">
        <v>3081333860</v>
      </c>
      <c r="BB4" s="17"/>
      <c r="BC4" s="19">
        <f>+AU4+AY4</f>
        <v>0</v>
      </c>
      <c r="BD4" s="19">
        <f>+AV4+AZ4</f>
        <v>462200079</v>
      </c>
      <c r="BE4" s="19">
        <f>+AW4+BA4</f>
        <v>29419860044.6</v>
      </c>
      <c r="BF4" s="19">
        <f>+AX4+BB4</f>
        <v>501629520</v>
      </c>
      <c r="BG4" s="17">
        <v>0</v>
      </c>
      <c r="BH4" s="17"/>
      <c r="BI4" s="17">
        <v>3081333860</v>
      </c>
      <c r="BJ4" s="17"/>
      <c r="BK4" s="17">
        <v>148394356</v>
      </c>
      <c r="BL4" s="19">
        <f>+BC4+BG4</f>
        <v>0</v>
      </c>
      <c r="BM4" s="19">
        <f>+BD4+BH4</f>
        <v>462200079</v>
      </c>
      <c r="BN4" s="19">
        <f>+BE4+BI4</f>
        <v>32501193904.6</v>
      </c>
      <c r="BO4" s="19">
        <f>+BF4+BJ4</f>
        <v>501629520</v>
      </c>
      <c r="BP4" s="81">
        <f>+BK4</f>
        <v>148394356</v>
      </c>
      <c r="BQ4" s="17">
        <v>0</v>
      </c>
      <c r="BR4" s="17"/>
      <c r="BS4" s="17">
        <v>3786774644</v>
      </c>
      <c r="BT4" s="17"/>
      <c r="BU4" s="17">
        <v>75735493</v>
      </c>
      <c r="BV4" s="19">
        <f>+BL4+BQ4</f>
        <v>0</v>
      </c>
      <c r="BW4" s="19">
        <f>+BM4+BR4</f>
        <v>462200079</v>
      </c>
      <c r="BX4" s="19">
        <f>+BN4+BS4</f>
        <v>36287968548.6</v>
      </c>
      <c r="BY4" s="19">
        <f>+BO4+BT4</f>
        <v>501629520</v>
      </c>
      <c r="BZ4" s="19">
        <f>+BP4+BU4</f>
        <v>224129849</v>
      </c>
      <c r="CA4" s="17">
        <v>0</v>
      </c>
      <c r="CB4" s="17">
        <f>VLOOKUP(A4,Hoja3!$B$3:$F$34,5,0)</f>
        <v>235633445</v>
      </c>
      <c r="CC4" s="17">
        <f>VLOOKUP(A4,Hoja3!$B$3:$E$35,4,0)</f>
        <v>3081333860</v>
      </c>
      <c r="CD4" s="17"/>
      <c r="CE4" s="17"/>
      <c r="CF4" s="19">
        <f>+BV4+CA4</f>
        <v>0</v>
      </c>
      <c r="CG4" s="19">
        <f>+BW4+CB4</f>
        <v>697833524</v>
      </c>
      <c r="CH4" s="19">
        <f>+BX4+CC4</f>
        <v>39369302408.6</v>
      </c>
      <c r="CI4" s="19">
        <f>+BY4+CD4</f>
        <v>501629520</v>
      </c>
      <c r="CJ4" s="19">
        <f>+BZ4+CE4</f>
        <v>224129849</v>
      </c>
    </row>
    <row r="5" spans="1:88" ht="12.75">
      <c r="A5" s="14">
        <v>8001240234</v>
      </c>
      <c r="B5" s="14">
        <v>800124023</v>
      </c>
      <c r="C5" s="14">
        <v>824276000</v>
      </c>
      <c r="D5" s="87" t="s">
        <v>185</v>
      </c>
      <c r="E5" s="16" t="s">
        <v>98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64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>
        <v>0</v>
      </c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  <c r="AY5" s="17">
        <v>0</v>
      </c>
      <c r="AZ5" s="17"/>
      <c r="BA5" s="17">
        <v>171714544</v>
      </c>
      <c r="BB5" s="17"/>
      <c r="BC5" s="19">
        <f aca="true" t="shared" si="18" ref="BC5:BC36">+AU5+AY5</f>
        <v>0</v>
      </c>
      <c r="BD5" s="19">
        <f aca="true" t="shared" si="19" ref="BD5:BD36">+AV5+AZ5</f>
        <v>0</v>
      </c>
      <c r="BE5" s="19">
        <f aca="true" t="shared" si="20" ref="BE5:BE54">+AW5+BA5</f>
        <v>1202001808</v>
      </c>
      <c r="BF5" s="19">
        <f aca="true" t="shared" si="21" ref="BF5:BF36">+AX5+BB5</f>
        <v>3434291</v>
      </c>
      <c r="BG5" s="17">
        <v>0</v>
      </c>
      <c r="BH5" s="17"/>
      <c r="BI5" s="17">
        <v>171714544</v>
      </c>
      <c r="BJ5" s="17"/>
      <c r="BK5" s="17">
        <v>24040037</v>
      </c>
      <c r="BL5" s="19">
        <f aca="true" t="shared" si="22" ref="BL5:BL54">+BC5+BG5</f>
        <v>0</v>
      </c>
      <c r="BM5" s="19">
        <f aca="true" t="shared" si="23" ref="BM5:BM54">+BD5+BH5</f>
        <v>0</v>
      </c>
      <c r="BN5" s="19">
        <f aca="true" t="shared" si="24" ref="BN5:BN54">+BE5+BI5</f>
        <v>1373716352</v>
      </c>
      <c r="BO5" s="19">
        <f aca="true" t="shared" si="25" ref="BO5:BO54">+BF5+BJ5</f>
        <v>3434291</v>
      </c>
      <c r="BP5" s="81">
        <f aca="true" t="shared" si="26" ref="BP5:BP54">+BK5</f>
        <v>24040037</v>
      </c>
      <c r="BQ5" s="17">
        <v>0</v>
      </c>
      <c r="BR5" s="17"/>
      <c r="BS5" s="17">
        <v>171714544</v>
      </c>
      <c r="BT5" s="17"/>
      <c r="BU5" s="17">
        <v>3434291</v>
      </c>
      <c r="BV5" s="19">
        <f aca="true" t="shared" si="27" ref="BV5:BV54">+BL5+BQ5</f>
        <v>0</v>
      </c>
      <c r="BW5" s="19">
        <f aca="true" t="shared" si="28" ref="BW5:BW54">+BM5+BR5</f>
        <v>0</v>
      </c>
      <c r="BX5" s="19">
        <f aca="true" t="shared" si="29" ref="BX5:BX54">+BN5+BS5</f>
        <v>1545430896</v>
      </c>
      <c r="BY5" s="19">
        <f aca="true" t="shared" si="30" ref="BY5:BZ54">+BO5+BT5</f>
        <v>3434291</v>
      </c>
      <c r="BZ5" s="19">
        <f t="shared" si="30"/>
        <v>27474328</v>
      </c>
      <c r="CA5" s="17">
        <v>0</v>
      </c>
      <c r="CB5" s="17">
        <v>0</v>
      </c>
      <c r="CC5" s="17">
        <f>VLOOKUP(A5,Hoja3!$B$37:$C$50,2,0)</f>
        <v>171714544</v>
      </c>
      <c r="CD5" s="17"/>
      <c r="CE5" s="17"/>
      <c r="CF5" s="19">
        <f aca="true" t="shared" si="31" ref="CF5:CF54">+BV5+CA5</f>
        <v>0</v>
      </c>
      <c r="CG5" s="19">
        <f aca="true" t="shared" si="32" ref="CG5:CG54">+BW5+CB5</f>
        <v>0</v>
      </c>
      <c r="CH5" s="19">
        <f aca="true" t="shared" si="33" ref="CH5:CH54">+BX5+CC5</f>
        <v>1717145440</v>
      </c>
      <c r="CI5" s="19">
        <f aca="true" t="shared" si="34" ref="CI5:CI54">+BY5+CD5</f>
        <v>3434291</v>
      </c>
      <c r="CJ5" s="19">
        <f aca="true" t="shared" si="35" ref="CJ5:CJ54">+BZ5+CE5</f>
        <v>27474328</v>
      </c>
    </row>
    <row r="6" spans="1:88" ht="12.75">
      <c r="A6" s="14">
        <v>8001448299</v>
      </c>
      <c r="B6" s="14">
        <v>800144829</v>
      </c>
      <c r="C6" s="14">
        <v>821400000</v>
      </c>
      <c r="D6" s="87" t="s">
        <v>186</v>
      </c>
      <c r="E6" s="22" t="s">
        <v>177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64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v>1795525652</v>
      </c>
      <c r="AR6" s="18">
        <v>340005784</v>
      </c>
      <c r="AS6" s="18"/>
      <c r="AT6" s="18">
        <v>169886618</v>
      </c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189883764</v>
      </c>
      <c r="AY6" s="17">
        <v>0</v>
      </c>
      <c r="AZ6" s="17"/>
      <c r="BA6" s="17">
        <v>999857319</v>
      </c>
      <c r="BB6" s="17"/>
      <c r="BC6" s="19">
        <f t="shared" si="18"/>
        <v>0</v>
      </c>
      <c r="BD6" s="19">
        <f t="shared" si="19"/>
        <v>1028639919</v>
      </c>
      <c r="BE6" s="19">
        <f t="shared" si="20"/>
        <v>11419880263.666666</v>
      </c>
      <c r="BF6" s="19">
        <f t="shared" si="21"/>
        <v>189883764</v>
      </c>
      <c r="BG6" s="17">
        <v>0</v>
      </c>
      <c r="BH6" s="17"/>
      <c r="BI6" s="17">
        <v>999857319</v>
      </c>
      <c r="BJ6" s="17"/>
      <c r="BK6" s="17">
        <v>75904805</v>
      </c>
      <c r="BL6" s="19">
        <f t="shared" si="22"/>
        <v>0</v>
      </c>
      <c r="BM6" s="19">
        <f t="shared" si="23"/>
        <v>1028639919</v>
      </c>
      <c r="BN6" s="19">
        <f t="shared" si="24"/>
        <v>12419737582.666666</v>
      </c>
      <c r="BO6" s="19">
        <f t="shared" si="25"/>
        <v>189883764</v>
      </c>
      <c r="BP6" s="81">
        <f t="shared" si="26"/>
        <v>75904805</v>
      </c>
      <c r="BQ6" s="17">
        <v>0</v>
      </c>
      <c r="BR6" s="17"/>
      <c r="BS6" s="17">
        <v>1246487551</v>
      </c>
      <c r="BT6" s="17"/>
      <c r="BU6" s="17">
        <v>24929751</v>
      </c>
      <c r="BV6" s="19">
        <f t="shared" si="27"/>
        <v>0</v>
      </c>
      <c r="BW6" s="19">
        <f t="shared" si="28"/>
        <v>1028639919</v>
      </c>
      <c r="BX6" s="19">
        <f t="shared" si="29"/>
        <v>13666225133.666666</v>
      </c>
      <c r="BY6" s="19">
        <f t="shared" si="30"/>
        <v>189883764</v>
      </c>
      <c r="BZ6" s="19">
        <f t="shared" si="30"/>
        <v>100834556</v>
      </c>
      <c r="CA6" s="17">
        <v>0</v>
      </c>
      <c r="CB6" s="17">
        <f>VLOOKUP(A6,Hoja3!$B$3:$F$34,5,0)</f>
        <v>81033502</v>
      </c>
      <c r="CC6" s="17">
        <f>VLOOKUP(A6,Hoja3!$B$3:$E$35,4,0)</f>
        <v>999857319</v>
      </c>
      <c r="CD6" s="17"/>
      <c r="CE6" s="17"/>
      <c r="CF6" s="19">
        <f t="shared" si="31"/>
        <v>0</v>
      </c>
      <c r="CG6" s="19">
        <f t="shared" si="32"/>
        <v>1109673421</v>
      </c>
      <c r="CH6" s="19">
        <f t="shared" si="33"/>
        <v>14666082452.666666</v>
      </c>
      <c r="CI6" s="19">
        <f t="shared" si="34"/>
        <v>189883764</v>
      </c>
      <c r="CJ6" s="19">
        <f t="shared" si="35"/>
        <v>100834556</v>
      </c>
    </row>
    <row r="7" spans="1:88" ht="12.75">
      <c r="A7" s="21">
        <v>8001631300</v>
      </c>
      <c r="B7" s="14">
        <v>800163130</v>
      </c>
      <c r="C7" s="14">
        <v>129254000</v>
      </c>
      <c r="D7" s="87" t="s">
        <v>187</v>
      </c>
      <c r="E7" s="22" t="s">
        <v>10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64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v>2493773447</v>
      </c>
      <c r="AR7" s="18">
        <v>12785719</v>
      </c>
      <c r="AS7" s="18"/>
      <c r="AT7" s="18">
        <v>101650029</v>
      </c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119287902</v>
      </c>
      <c r="AY7" s="17">
        <v>0</v>
      </c>
      <c r="AZ7" s="17"/>
      <c r="BA7" s="17">
        <v>681006381</v>
      </c>
      <c r="BB7" s="17"/>
      <c r="BC7" s="19">
        <f t="shared" si="18"/>
        <v>0</v>
      </c>
      <c r="BD7" s="19">
        <f t="shared" si="19"/>
        <v>102150957.5</v>
      </c>
      <c r="BE7" s="19">
        <f t="shared" si="20"/>
        <v>8938287621.733334</v>
      </c>
      <c r="BF7" s="19">
        <f t="shared" si="21"/>
        <v>119287902</v>
      </c>
      <c r="BG7" s="17">
        <v>0</v>
      </c>
      <c r="BH7" s="17"/>
      <c r="BI7" s="17">
        <v>681006381</v>
      </c>
      <c r="BJ7" s="17"/>
      <c r="BK7" s="17">
        <v>77115725</v>
      </c>
      <c r="BL7" s="19">
        <f t="shared" si="22"/>
        <v>0</v>
      </c>
      <c r="BM7" s="19">
        <f t="shared" si="23"/>
        <v>102150957.5</v>
      </c>
      <c r="BN7" s="19">
        <f t="shared" si="24"/>
        <v>9619294002.733334</v>
      </c>
      <c r="BO7" s="19">
        <f t="shared" si="25"/>
        <v>119287902</v>
      </c>
      <c r="BP7" s="81">
        <f t="shared" si="26"/>
        <v>77115725</v>
      </c>
      <c r="BQ7" s="17">
        <v>0</v>
      </c>
      <c r="BR7" s="17"/>
      <c r="BS7" s="17">
        <v>852601207</v>
      </c>
      <c r="BT7" s="17"/>
      <c r="BU7" s="17">
        <v>17052024</v>
      </c>
      <c r="BV7" s="19">
        <f t="shared" si="27"/>
        <v>0</v>
      </c>
      <c r="BW7" s="19">
        <f t="shared" si="28"/>
        <v>102150957.5</v>
      </c>
      <c r="BX7" s="19">
        <f t="shared" si="29"/>
        <v>10471895209.733334</v>
      </c>
      <c r="BY7" s="19">
        <f t="shared" si="30"/>
        <v>119287902</v>
      </c>
      <c r="BZ7" s="19">
        <f t="shared" si="30"/>
        <v>94167749</v>
      </c>
      <c r="CA7" s="17">
        <v>0</v>
      </c>
      <c r="CB7" s="17">
        <f>VLOOKUP(A7,Hoja3!$B$3:$F$34,5,0)</f>
        <v>52077408</v>
      </c>
      <c r="CC7" s="17">
        <f>VLOOKUP(A7,Hoja3!$B$3:$E$35,4,0)</f>
        <v>681006381</v>
      </c>
      <c r="CD7" s="17"/>
      <c r="CE7" s="17"/>
      <c r="CF7" s="19">
        <f t="shared" si="31"/>
        <v>0</v>
      </c>
      <c r="CG7" s="19">
        <f t="shared" si="32"/>
        <v>154228365.5</v>
      </c>
      <c r="CH7" s="19">
        <f t="shared" si="33"/>
        <v>11152901590.733334</v>
      </c>
      <c r="CI7" s="19">
        <f t="shared" si="34"/>
        <v>119287902</v>
      </c>
      <c r="CJ7" s="19">
        <f t="shared" si="35"/>
        <v>94167749</v>
      </c>
    </row>
    <row r="8" spans="1:88" ht="15">
      <c r="A8" s="14">
        <v>8002253408</v>
      </c>
      <c r="B8" s="14">
        <v>800225340</v>
      </c>
      <c r="C8" s="14">
        <v>821700000</v>
      </c>
      <c r="D8" s="87" t="s">
        <v>188</v>
      </c>
      <c r="E8" s="23" t="s">
        <v>12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64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v>2017341890</v>
      </c>
      <c r="AR8" s="18">
        <v>3288948403</v>
      </c>
      <c r="AS8" s="18"/>
      <c r="AT8" s="18">
        <v>156271261</v>
      </c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168165062</v>
      </c>
      <c r="AY8" s="17">
        <v>0</v>
      </c>
      <c r="AZ8" s="17"/>
      <c r="BA8" s="17">
        <v>594690060</v>
      </c>
      <c r="BB8" s="17"/>
      <c r="BC8" s="19">
        <f t="shared" si="18"/>
        <v>0</v>
      </c>
      <c r="BD8" s="19">
        <f t="shared" si="19"/>
        <v>89327954.5</v>
      </c>
      <c r="BE8" s="19">
        <f t="shared" si="20"/>
        <v>11020285148.466667</v>
      </c>
      <c r="BF8" s="19">
        <f t="shared" si="21"/>
        <v>168165062</v>
      </c>
      <c r="BG8" s="17">
        <v>0</v>
      </c>
      <c r="BH8" s="17"/>
      <c r="BI8" s="17">
        <v>594690060</v>
      </c>
      <c r="BJ8" s="17"/>
      <c r="BK8" s="17">
        <v>64134440</v>
      </c>
      <c r="BL8" s="19">
        <f t="shared" si="22"/>
        <v>0</v>
      </c>
      <c r="BM8" s="19">
        <f t="shared" si="23"/>
        <v>89327954.5</v>
      </c>
      <c r="BN8" s="19">
        <f t="shared" si="24"/>
        <v>11614975208.466667</v>
      </c>
      <c r="BO8" s="19">
        <f t="shared" si="25"/>
        <v>168165062</v>
      </c>
      <c r="BP8" s="81">
        <f t="shared" si="26"/>
        <v>64134440</v>
      </c>
      <c r="BQ8" s="17">
        <v>0</v>
      </c>
      <c r="BR8" s="17"/>
      <c r="BS8" s="17">
        <v>770576887</v>
      </c>
      <c r="BT8" s="17"/>
      <c r="BU8" s="17">
        <v>15411538</v>
      </c>
      <c r="BV8" s="19">
        <f t="shared" si="27"/>
        <v>0</v>
      </c>
      <c r="BW8" s="19">
        <f t="shared" si="28"/>
        <v>89327954.5</v>
      </c>
      <c r="BX8" s="19">
        <f t="shared" si="29"/>
        <v>12385552095.466667</v>
      </c>
      <c r="BY8" s="19">
        <f t="shared" si="30"/>
        <v>168165062</v>
      </c>
      <c r="BZ8" s="19">
        <f t="shared" si="30"/>
        <v>79545978</v>
      </c>
      <c r="CA8" s="17">
        <v>0</v>
      </c>
      <c r="CB8" s="17">
        <f>VLOOKUP(A8,Hoja3!$B$3:$F$34,5,0)</f>
        <v>45540134</v>
      </c>
      <c r="CC8" s="17">
        <f>VLOOKUP(A8,Hoja3!$B$3:$E$35,4,0)</f>
        <v>594690060</v>
      </c>
      <c r="CD8" s="17"/>
      <c r="CE8" s="17"/>
      <c r="CF8" s="19">
        <f t="shared" si="31"/>
        <v>0</v>
      </c>
      <c r="CG8" s="19">
        <f t="shared" si="32"/>
        <v>134868088.5</v>
      </c>
      <c r="CH8" s="19">
        <f t="shared" si="33"/>
        <v>12980242155.466667</v>
      </c>
      <c r="CI8" s="19">
        <f t="shared" si="34"/>
        <v>168165062</v>
      </c>
      <c r="CJ8" s="19">
        <f t="shared" si="35"/>
        <v>79545978</v>
      </c>
    </row>
    <row r="9" spans="1:88" ht="12.75">
      <c r="A9" s="14">
        <v>8002479401</v>
      </c>
      <c r="B9" s="14">
        <v>800247940</v>
      </c>
      <c r="C9" s="14">
        <v>824086000</v>
      </c>
      <c r="D9" s="87" t="s">
        <v>189</v>
      </c>
      <c r="E9" s="16" t="s">
        <v>14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64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>
        <v>0</v>
      </c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  <c r="AY9" s="17">
        <v>0</v>
      </c>
      <c r="AZ9" s="17"/>
      <c r="BA9" s="17">
        <v>122853105</v>
      </c>
      <c r="BB9" s="17"/>
      <c r="BC9" s="19">
        <f t="shared" si="18"/>
        <v>0</v>
      </c>
      <c r="BD9" s="19">
        <f t="shared" si="19"/>
        <v>0</v>
      </c>
      <c r="BE9" s="19">
        <f t="shared" si="20"/>
        <v>859971735</v>
      </c>
      <c r="BF9" s="19">
        <f t="shared" si="21"/>
        <v>2457062</v>
      </c>
      <c r="BG9" s="17">
        <v>0</v>
      </c>
      <c r="BH9" s="17"/>
      <c r="BI9" s="17">
        <v>122853105</v>
      </c>
      <c r="BJ9" s="17"/>
      <c r="BK9" s="17">
        <v>17199434</v>
      </c>
      <c r="BL9" s="19">
        <f t="shared" si="22"/>
        <v>0</v>
      </c>
      <c r="BM9" s="19">
        <f t="shared" si="23"/>
        <v>0</v>
      </c>
      <c r="BN9" s="19">
        <f t="shared" si="24"/>
        <v>982824840</v>
      </c>
      <c r="BO9" s="19">
        <f t="shared" si="25"/>
        <v>2457062</v>
      </c>
      <c r="BP9" s="81">
        <f t="shared" si="26"/>
        <v>17199434</v>
      </c>
      <c r="BQ9" s="17">
        <v>0</v>
      </c>
      <c r="BR9" s="17"/>
      <c r="BS9" s="17">
        <v>122853105</v>
      </c>
      <c r="BT9" s="17"/>
      <c r="BU9" s="17">
        <v>2457062</v>
      </c>
      <c r="BV9" s="19">
        <f t="shared" si="27"/>
        <v>0</v>
      </c>
      <c r="BW9" s="19">
        <f t="shared" si="28"/>
        <v>0</v>
      </c>
      <c r="BX9" s="19">
        <f t="shared" si="29"/>
        <v>1105677945</v>
      </c>
      <c r="BY9" s="19">
        <f t="shared" si="30"/>
        <v>2457062</v>
      </c>
      <c r="BZ9" s="19">
        <f t="shared" si="30"/>
        <v>19656496</v>
      </c>
      <c r="CA9" s="17">
        <v>0</v>
      </c>
      <c r="CB9" s="17">
        <v>0</v>
      </c>
      <c r="CC9" s="17">
        <f>VLOOKUP(A9,Hoja3!$B$37:$C$50,2,0)</f>
        <v>122853105</v>
      </c>
      <c r="CD9" s="17"/>
      <c r="CE9" s="17"/>
      <c r="CF9" s="19">
        <f t="shared" si="31"/>
        <v>0</v>
      </c>
      <c r="CG9" s="19">
        <f t="shared" si="32"/>
        <v>0</v>
      </c>
      <c r="CH9" s="19">
        <f t="shared" si="33"/>
        <v>1228531050</v>
      </c>
      <c r="CI9" s="19">
        <f t="shared" si="34"/>
        <v>2457062</v>
      </c>
      <c r="CJ9" s="19">
        <f t="shared" si="35"/>
        <v>19656496</v>
      </c>
    </row>
    <row r="10" spans="1:88" ht="12.75">
      <c r="A10" s="14"/>
      <c r="B10" s="85">
        <v>800248004</v>
      </c>
      <c r="C10" s="85">
        <v>825717000</v>
      </c>
      <c r="D10" s="86" t="s">
        <v>160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64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>
        <v>3624666.2</v>
      </c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22556089.7</v>
      </c>
      <c r="AY10" s="17">
        <v>0</v>
      </c>
      <c r="AZ10" s="17"/>
      <c r="BA10" s="17">
        <v>0</v>
      </c>
      <c r="BB10" s="17">
        <v>4422979.37</v>
      </c>
      <c r="BC10" s="19">
        <f t="shared" si="18"/>
        <v>0</v>
      </c>
      <c r="BD10" s="19">
        <f t="shared" si="19"/>
        <v>0</v>
      </c>
      <c r="BE10" s="19">
        <f t="shared" si="20"/>
        <v>0</v>
      </c>
      <c r="BF10" s="19">
        <f t="shared" si="21"/>
        <v>26979069.07</v>
      </c>
      <c r="BG10" s="17">
        <v>0</v>
      </c>
      <c r="BH10" s="17"/>
      <c r="BI10" s="17">
        <v>0</v>
      </c>
      <c r="BJ10" s="17">
        <v>3282347.6799999997</v>
      </c>
      <c r="BK10" s="17">
        <v>0</v>
      </c>
      <c r="BL10" s="19">
        <f t="shared" si="22"/>
        <v>0</v>
      </c>
      <c r="BM10" s="19">
        <f t="shared" si="23"/>
        <v>0</v>
      </c>
      <c r="BN10" s="19">
        <f t="shared" si="24"/>
        <v>0</v>
      </c>
      <c r="BO10" s="19">
        <f t="shared" si="25"/>
        <v>30261416.75</v>
      </c>
      <c r="BP10" s="81">
        <f t="shared" si="26"/>
        <v>0</v>
      </c>
      <c r="BQ10" s="17">
        <v>0</v>
      </c>
      <c r="BR10" s="17"/>
      <c r="BS10" s="17">
        <v>0</v>
      </c>
      <c r="BT10" s="17">
        <v>3582892.32</v>
      </c>
      <c r="BU10" s="17">
        <v>0</v>
      </c>
      <c r="BV10" s="19">
        <f t="shared" si="27"/>
        <v>0</v>
      </c>
      <c r="BW10" s="19">
        <f t="shared" si="28"/>
        <v>0</v>
      </c>
      <c r="BX10" s="19">
        <f t="shared" si="29"/>
        <v>0</v>
      </c>
      <c r="BY10" s="19">
        <f t="shared" si="30"/>
        <v>33844309.07</v>
      </c>
      <c r="BZ10" s="19">
        <f t="shared" si="30"/>
        <v>0</v>
      </c>
      <c r="CA10" s="17">
        <v>0</v>
      </c>
      <c r="CB10" s="17">
        <v>0</v>
      </c>
      <c r="CC10" s="17">
        <v>0</v>
      </c>
      <c r="CD10" s="17"/>
      <c r="CE10" s="17"/>
      <c r="CF10" s="19">
        <f t="shared" si="31"/>
        <v>0</v>
      </c>
      <c r="CG10" s="19">
        <f t="shared" si="32"/>
        <v>0</v>
      </c>
      <c r="CH10" s="19">
        <f t="shared" si="33"/>
        <v>0</v>
      </c>
      <c r="CI10" s="19">
        <f t="shared" si="34"/>
        <v>33844309.07</v>
      </c>
      <c r="CJ10" s="19">
        <f t="shared" si="35"/>
        <v>0</v>
      </c>
    </row>
    <row r="11" spans="1:88" ht="12.75">
      <c r="A11" s="14">
        <v>8350003004</v>
      </c>
      <c r="B11" s="14">
        <v>835000300</v>
      </c>
      <c r="C11" s="14">
        <v>826076000</v>
      </c>
      <c r="D11" s="87" t="s">
        <v>15</v>
      </c>
      <c r="E11" s="16" t="s">
        <v>16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64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v>2560268805</v>
      </c>
      <c r="AR11" s="18">
        <v>14051356</v>
      </c>
      <c r="AS11" s="18"/>
      <c r="AT11" s="18">
        <v>107765628</v>
      </c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125594075</v>
      </c>
      <c r="AY11" s="17">
        <v>0</v>
      </c>
      <c r="AZ11" s="17"/>
      <c r="BA11" s="17">
        <v>665664483</v>
      </c>
      <c r="BB11" s="17"/>
      <c r="BC11" s="19">
        <f t="shared" si="18"/>
        <v>0</v>
      </c>
      <c r="BD11" s="19">
        <f t="shared" si="19"/>
        <v>478138916</v>
      </c>
      <c r="BE11" s="19">
        <f t="shared" si="20"/>
        <v>8905443299</v>
      </c>
      <c r="BF11" s="19">
        <f t="shared" si="21"/>
        <v>125594075</v>
      </c>
      <c r="BG11" s="17">
        <v>0</v>
      </c>
      <c r="BH11" s="17"/>
      <c r="BI11" s="17">
        <v>665664483</v>
      </c>
      <c r="BJ11" s="17"/>
      <c r="BK11" s="17">
        <v>77831955</v>
      </c>
      <c r="BL11" s="19">
        <f t="shared" si="22"/>
        <v>0</v>
      </c>
      <c r="BM11" s="19">
        <f t="shared" si="23"/>
        <v>478138916</v>
      </c>
      <c r="BN11" s="19">
        <f t="shared" si="24"/>
        <v>9571107782</v>
      </c>
      <c r="BO11" s="19">
        <f t="shared" si="25"/>
        <v>125594075</v>
      </c>
      <c r="BP11" s="81">
        <f t="shared" si="26"/>
        <v>77831955</v>
      </c>
      <c r="BQ11" s="17">
        <v>0</v>
      </c>
      <c r="BR11" s="17"/>
      <c r="BS11" s="17">
        <v>846206442</v>
      </c>
      <c r="BT11" s="17"/>
      <c r="BU11" s="17">
        <v>16924130</v>
      </c>
      <c r="BV11" s="19">
        <f t="shared" si="27"/>
        <v>0</v>
      </c>
      <c r="BW11" s="19">
        <f t="shared" si="28"/>
        <v>478138916</v>
      </c>
      <c r="BX11" s="19">
        <f t="shared" si="29"/>
        <v>10417314224</v>
      </c>
      <c r="BY11" s="19">
        <f t="shared" si="30"/>
        <v>125594075</v>
      </c>
      <c r="BZ11" s="19">
        <f t="shared" si="30"/>
        <v>94756085</v>
      </c>
      <c r="CA11" s="17">
        <v>0</v>
      </c>
      <c r="CB11" s="17">
        <f>VLOOKUP(A11,Hoja3!$B$3:$F$34,5,0)</f>
        <v>52868685</v>
      </c>
      <c r="CC11" s="17">
        <f>VLOOKUP(A11,Hoja3!$B$3:$E$35,4,0)</f>
        <v>665664483</v>
      </c>
      <c r="CD11" s="17"/>
      <c r="CE11" s="17"/>
      <c r="CF11" s="19">
        <f t="shared" si="31"/>
        <v>0</v>
      </c>
      <c r="CG11" s="19">
        <f t="shared" si="32"/>
        <v>531007601</v>
      </c>
      <c r="CH11" s="19">
        <f t="shared" si="33"/>
        <v>11082978707</v>
      </c>
      <c r="CI11" s="19">
        <f t="shared" si="34"/>
        <v>125594075</v>
      </c>
      <c r="CJ11" s="19">
        <f t="shared" si="35"/>
        <v>94756085</v>
      </c>
    </row>
    <row r="12" spans="1:88" ht="12.75">
      <c r="A12" s="14">
        <v>8605127804</v>
      </c>
      <c r="B12" s="14">
        <v>860512780</v>
      </c>
      <c r="C12" s="14">
        <v>822000000</v>
      </c>
      <c r="D12" s="87" t="s">
        <v>190</v>
      </c>
      <c r="E12" s="16" t="s">
        <v>173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64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v>2518451005</v>
      </c>
      <c r="AR12" s="18">
        <v>5246754319</v>
      </c>
      <c r="AS12" s="18"/>
      <c r="AT12" s="18">
        <v>425023550</v>
      </c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466177729</v>
      </c>
      <c r="AY12" s="17">
        <v>0</v>
      </c>
      <c r="AZ12" s="17"/>
      <c r="BA12" s="17">
        <v>2057708956</v>
      </c>
      <c r="BB12" s="17"/>
      <c r="BC12" s="19">
        <f t="shared" si="18"/>
        <v>0</v>
      </c>
      <c r="BD12" s="19">
        <f t="shared" si="19"/>
        <v>1681719663</v>
      </c>
      <c r="BE12" s="19">
        <f t="shared" si="20"/>
        <v>26526317652.666664</v>
      </c>
      <c r="BF12" s="19">
        <f t="shared" si="21"/>
        <v>466177729</v>
      </c>
      <c r="BG12" s="17">
        <v>0</v>
      </c>
      <c r="BH12" s="17"/>
      <c r="BI12" s="17">
        <v>2057708956</v>
      </c>
      <c r="BJ12" s="17"/>
      <c r="BK12" s="17">
        <v>132677378</v>
      </c>
      <c r="BL12" s="19">
        <f t="shared" si="22"/>
        <v>0</v>
      </c>
      <c r="BM12" s="19">
        <f t="shared" si="23"/>
        <v>1681719663</v>
      </c>
      <c r="BN12" s="19">
        <f t="shared" si="24"/>
        <v>28584026608.666664</v>
      </c>
      <c r="BO12" s="19">
        <f t="shared" si="25"/>
        <v>466177729</v>
      </c>
      <c r="BP12" s="81">
        <f t="shared" si="26"/>
        <v>132677378</v>
      </c>
      <c r="BQ12" s="17">
        <v>0</v>
      </c>
      <c r="BR12" s="17"/>
      <c r="BS12" s="17">
        <v>2502227814</v>
      </c>
      <c r="BT12" s="17"/>
      <c r="BU12" s="17">
        <v>50044557</v>
      </c>
      <c r="BV12" s="19">
        <f t="shared" si="27"/>
        <v>0</v>
      </c>
      <c r="BW12" s="19">
        <f t="shared" si="28"/>
        <v>1681719663</v>
      </c>
      <c r="BX12" s="19">
        <f t="shared" si="29"/>
        <v>31086254422.666664</v>
      </c>
      <c r="BY12" s="19">
        <f t="shared" si="30"/>
        <v>466177729</v>
      </c>
      <c r="BZ12" s="19">
        <f t="shared" si="30"/>
        <v>182721935</v>
      </c>
      <c r="CA12" s="17">
        <v>0</v>
      </c>
      <c r="CB12" s="17">
        <v>0</v>
      </c>
      <c r="CC12" s="17">
        <f>VLOOKUP(A12,Hoja3!$B$3:$E$35,4,0)</f>
        <v>2057708956</v>
      </c>
      <c r="CD12" s="17"/>
      <c r="CE12" s="17"/>
      <c r="CF12" s="19">
        <f t="shared" si="31"/>
        <v>0</v>
      </c>
      <c r="CG12" s="19">
        <f t="shared" si="32"/>
        <v>1681719663</v>
      </c>
      <c r="CH12" s="19">
        <f t="shared" si="33"/>
        <v>33143963378.666664</v>
      </c>
      <c r="CI12" s="19">
        <f t="shared" si="34"/>
        <v>466177729</v>
      </c>
      <c r="CJ12" s="19">
        <f t="shared" si="35"/>
        <v>182721935</v>
      </c>
    </row>
    <row r="13" spans="1:88" ht="12.75">
      <c r="A13" s="14">
        <v>8605251485</v>
      </c>
      <c r="B13" s="85">
        <v>860525148</v>
      </c>
      <c r="C13" s="85">
        <v>44600000</v>
      </c>
      <c r="D13" s="86" t="s">
        <v>18</v>
      </c>
      <c r="E13" s="16" t="s">
        <v>19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64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>
        <v>0</v>
      </c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  <c r="AY13" s="17">
        <v>0</v>
      </c>
      <c r="AZ13" s="17"/>
      <c r="BA13" s="17">
        <v>0</v>
      </c>
      <c r="BB13" s="17"/>
      <c r="BC13" s="19">
        <f t="shared" si="18"/>
        <v>0</v>
      </c>
      <c r="BD13" s="19">
        <f t="shared" si="19"/>
        <v>0</v>
      </c>
      <c r="BE13" s="19">
        <f t="shared" si="20"/>
        <v>0</v>
      </c>
      <c r="BF13" s="19">
        <f t="shared" si="21"/>
        <v>0</v>
      </c>
      <c r="BG13" s="17">
        <v>0</v>
      </c>
      <c r="BH13" s="17"/>
      <c r="BI13" s="17">
        <v>0</v>
      </c>
      <c r="BJ13" s="17"/>
      <c r="BK13" s="17">
        <v>0</v>
      </c>
      <c r="BL13" s="19">
        <f t="shared" si="22"/>
        <v>0</v>
      </c>
      <c r="BM13" s="19">
        <f t="shared" si="23"/>
        <v>0</v>
      </c>
      <c r="BN13" s="19">
        <f t="shared" si="24"/>
        <v>0</v>
      </c>
      <c r="BO13" s="19">
        <f t="shared" si="25"/>
        <v>0</v>
      </c>
      <c r="BP13" s="81">
        <f t="shared" si="26"/>
        <v>0</v>
      </c>
      <c r="BQ13" s="17">
        <v>0</v>
      </c>
      <c r="BR13" s="17"/>
      <c r="BS13" s="17">
        <v>0</v>
      </c>
      <c r="BT13" s="17"/>
      <c r="BU13" s="17">
        <v>0</v>
      </c>
      <c r="BV13" s="19">
        <f t="shared" si="27"/>
        <v>0</v>
      </c>
      <c r="BW13" s="19">
        <f t="shared" si="28"/>
        <v>0</v>
      </c>
      <c r="BX13" s="19">
        <f t="shared" si="29"/>
        <v>0</v>
      </c>
      <c r="BY13" s="19">
        <f t="shared" si="30"/>
        <v>0</v>
      </c>
      <c r="BZ13" s="19">
        <f t="shared" si="30"/>
        <v>0</v>
      </c>
      <c r="CA13" s="17">
        <v>0</v>
      </c>
      <c r="CB13" s="17">
        <v>0</v>
      </c>
      <c r="CC13" s="17">
        <v>0</v>
      </c>
      <c r="CD13" s="17"/>
      <c r="CE13" s="17"/>
      <c r="CF13" s="19">
        <f t="shared" si="31"/>
        <v>0</v>
      </c>
      <c r="CG13" s="19">
        <f t="shared" si="32"/>
        <v>0</v>
      </c>
      <c r="CH13" s="19">
        <f t="shared" si="33"/>
        <v>0</v>
      </c>
      <c r="CI13" s="19">
        <f t="shared" si="34"/>
        <v>0</v>
      </c>
      <c r="CJ13" s="19">
        <f t="shared" si="35"/>
        <v>0</v>
      </c>
    </row>
    <row r="14" spans="1:88" ht="12.75">
      <c r="A14" s="14">
        <v>8900004328</v>
      </c>
      <c r="B14" s="14">
        <v>890000432</v>
      </c>
      <c r="C14" s="14">
        <v>126663000</v>
      </c>
      <c r="D14" s="87" t="s">
        <v>20</v>
      </c>
      <c r="E14" s="22" t="s">
        <v>21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64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v>2159801464</v>
      </c>
      <c r="AR14" s="18">
        <v>605373434</v>
      </c>
      <c r="AS14" s="18"/>
      <c r="AT14" s="18">
        <v>383506088</v>
      </c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439907615</v>
      </c>
      <c r="AY14" s="17">
        <v>0</v>
      </c>
      <c r="AZ14" s="17"/>
      <c r="BA14" s="17">
        <v>2606980881</v>
      </c>
      <c r="BB14" s="17"/>
      <c r="BC14" s="19">
        <f t="shared" si="18"/>
        <v>0</v>
      </c>
      <c r="BD14" s="19">
        <f t="shared" si="19"/>
        <v>391047132.5</v>
      </c>
      <c r="BE14" s="19">
        <f t="shared" si="20"/>
        <v>26549067552.666668</v>
      </c>
      <c r="BF14" s="19">
        <f t="shared" si="21"/>
        <v>439907615</v>
      </c>
      <c r="BG14" s="17">
        <v>0</v>
      </c>
      <c r="BH14" s="17"/>
      <c r="BI14" s="17">
        <v>2606980881</v>
      </c>
      <c r="BJ14" s="17"/>
      <c r="BK14" s="17">
        <v>147475264</v>
      </c>
      <c r="BL14" s="19">
        <f t="shared" si="22"/>
        <v>0</v>
      </c>
      <c r="BM14" s="19">
        <f t="shared" si="23"/>
        <v>391047132.5</v>
      </c>
      <c r="BN14" s="19">
        <f t="shared" si="24"/>
        <v>29156048433.666668</v>
      </c>
      <c r="BO14" s="19">
        <f t="shared" si="25"/>
        <v>439907615</v>
      </c>
      <c r="BP14" s="81">
        <f t="shared" si="26"/>
        <v>147475264</v>
      </c>
      <c r="BQ14" s="17">
        <v>0</v>
      </c>
      <c r="BR14" s="17"/>
      <c r="BS14" s="17">
        <v>3190851019</v>
      </c>
      <c r="BT14" s="17"/>
      <c r="BU14" s="17">
        <v>63817021</v>
      </c>
      <c r="BV14" s="19">
        <f t="shared" si="27"/>
        <v>0</v>
      </c>
      <c r="BW14" s="19">
        <f t="shared" si="28"/>
        <v>391047132.5</v>
      </c>
      <c r="BX14" s="19">
        <f t="shared" si="29"/>
        <v>32346899452.666668</v>
      </c>
      <c r="BY14" s="19">
        <f t="shared" si="30"/>
        <v>439907615</v>
      </c>
      <c r="BZ14" s="19">
        <f t="shared" si="30"/>
        <v>211292285</v>
      </c>
      <c r="CA14" s="17">
        <v>0</v>
      </c>
      <c r="CB14" s="17">
        <f>VLOOKUP(A14,Hoja3!$B$3:$F$34,5,0)</f>
        <v>199359081</v>
      </c>
      <c r="CC14" s="17">
        <f>VLOOKUP(A14,Hoja3!$B$3:$E$35,4,0)</f>
        <v>2606980881</v>
      </c>
      <c r="CD14" s="17"/>
      <c r="CE14" s="17"/>
      <c r="CF14" s="19">
        <f t="shared" si="31"/>
        <v>0</v>
      </c>
      <c r="CG14" s="19">
        <f t="shared" si="32"/>
        <v>590406213.5</v>
      </c>
      <c r="CH14" s="19">
        <f t="shared" si="33"/>
        <v>34953880333.66667</v>
      </c>
      <c r="CI14" s="19">
        <f t="shared" si="34"/>
        <v>439907615</v>
      </c>
      <c r="CJ14" s="19">
        <f t="shared" si="35"/>
        <v>211292285</v>
      </c>
    </row>
    <row r="15" spans="1:88" ht="12.75">
      <c r="A15" s="14">
        <v>8901022573</v>
      </c>
      <c r="B15" s="14">
        <v>890102257</v>
      </c>
      <c r="C15" s="14">
        <v>121708000</v>
      </c>
      <c r="D15" s="15" t="s">
        <v>22</v>
      </c>
      <c r="E15" s="22" t="s">
        <v>23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64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v>1736804682</v>
      </c>
      <c r="AR15" s="18">
        <v>47655566</v>
      </c>
      <c r="AS15" s="18"/>
      <c r="AT15" s="18">
        <v>806979372</v>
      </c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921278827</v>
      </c>
      <c r="AY15" s="17">
        <v>0</v>
      </c>
      <c r="AZ15" s="17"/>
      <c r="BA15" s="17">
        <v>5714972758</v>
      </c>
      <c r="BB15" s="17"/>
      <c r="BC15" s="19">
        <f t="shared" si="18"/>
        <v>0</v>
      </c>
      <c r="BD15" s="19">
        <f t="shared" si="19"/>
        <v>857245914</v>
      </c>
      <c r="BE15" s="19">
        <f t="shared" si="20"/>
        <v>53515718870.666664</v>
      </c>
      <c r="BF15" s="19">
        <f t="shared" si="21"/>
        <v>921278827</v>
      </c>
      <c r="BG15" s="17">
        <v>0</v>
      </c>
      <c r="BH15" s="17"/>
      <c r="BI15" s="17">
        <v>5714972758</v>
      </c>
      <c r="BJ15" s="17"/>
      <c r="BK15" s="17">
        <v>263335004</v>
      </c>
      <c r="BL15" s="19">
        <f t="shared" si="22"/>
        <v>0</v>
      </c>
      <c r="BM15" s="19">
        <f t="shared" si="23"/>
        <v>857245914</v>
      </c>
      <c r="BN15" s="19">
        <f t="shared" si="24"/>
        <v>59230691628.666664</v>
      </c>
      <c r="BO15" s="19">
        <f t="shared" si="25"/>
        <v>921278827</v>
      </c>
      <c r="BP15" s="81">
        <f t="shared" si="26"/>
        <v>263335004</v>
      </c>
      <c r="BQ15" s="17">
        <v>0</v>
      </c>
      <c r="BR15" s="17"/>
      <c r="BS15" s="17">
        <v>6954696907</v>
      </c>
      <c r="BT15" s="17"/>
      <c r="BU15" s="17">
        <v>139093938</v>
      </c>
      <c r="BV15" s="19">
        <f t="shared" si="27"/>
        <v>0</v>
      </c>
      <c r="BW15" s="19">
        <f t="shared" si="28"/>
        <v>857245914</v>
      </c>
      <c r="BX15" s="19">
        <f t="shared" si="29"/>
        <v>66185388535.666664</v>
      </c>
      <c r="BY15" s="19">
        <f t="shared" si="30"/>
        <v>921278827</v>
      </c>
      <c r="BZ15" s="19">
        <f t="shared" si="30"/>
        <v>402428942</v>
      </c>
      <c r="CA15" s="17">
        <v>0</v>
      </c>
      <c r="CB15" s="17">
        <f>VLOOKUP(A15,Hoja3!$B$3:$F$34,5,0)</f>
        <v>437031099</v>
      </c>
      <c r="CC15" s="17">
        <f>VLOOKUP(A15,Hoja3!$B$3:$E$35,4,0)</f>
        <v>5714972758</v>
      </c>
      <c r="CD15" s="17"/>
      <c r="CE15" s="17"/>
      <c r="CF15" s="19">
        <f t="shared" si="31"/>
        <v>0</v>
      </c>
      <c r="CG15" s="19">
        <f t="shared" si="32"/>
        <v>1294277013</v>
      </c>
      <c r="CH15" s="19">
        <f t="shared" si="33"/>
        <v>71900361293.66666</v>
      </c>
      <c r="CI15" s="19">
        <f t="shared" si="34"/>
        <v>921278827</v>
      </c>
      <c r="CJ15" s="19">
        <f t="shared" si="35"/>
        <v>402428942</v>
      </c>
    </row>
    <row r="16" spans="1:88" ht="12.75">
      <c r="A16" s="14">
        <v>8902012134</v>
      </c>
      <c r="B16" s="14">
        <v>890201213</v>
      </c>
      <c r="C16" s="14">
        <v>128868000</v>
      </c>
      <c r="D16" s="87" t="s">
        <v>191</v>
      </c>
      <c r="E16" s="22" t="s">
        <v>25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64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v>1763590752</v>
      </c>
      <c r="AR16" s="18">
        <v>444664424</v>
      </c>
      <c r="AS16" s="18"/>
      <c r="AT16" s="18">
        <v>853196005</v>
      </c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972757484</v>
      </c>
      <c r="AY16" s="17">
        <v>0</v>
      </c>
      <c r="AZ16" s="17"/>
      <c r="BA16" s="17">
        <v>5978073926</v>
      </c>
      <c r="BB16" s="17"/>
      <c r="BC16" s="19">
        <f t="shared" si="18"/>
        <v>0</v>
      </c>
      <c r="BD16" s="19">
        <f t="shared" si="19"/>
        <v>896711089</v>
      </c>
      <c r="BE16" s="19">
        <f t="shared" si="20"/>
        <v>56379538794.933334</v>
      </c>
      <c r="BF16" s="19">
        <f t="shared" si="21"/>
        <v>972757484</v>
      </c>
      <c r="BG16" s="17">
        <v>0</v>
      </c>
      <c r="BH16" s="17"/>
      <c r="BI16" s="17">
        <v>5978073926</v>
      </c>
      <c r="BJ16" s="17"/>
      <c r="BK16" s="17">
        <v>274394773</v>
      </c>
      <c r="BL16" s="19">
        <f t="shared" si="22"/>
        <v>0</v>
      </c>
      <c r="BM16" s="19">
        <f t="shared" si="23"/>
        <v>896711089</v>
      </c>
      <c r="BN16" s="19">
        <f t="shared" si="24"/>
        <v>62357612720.933334</v>
      </c>
      <c r="BO16" s="19">
        <f t="shared" si="25"/>
        <v>972757484</v>
      </c>
      <c r="BP16" s="81">
        <f t="shared" si="26"/>
        <v>274394773</v>
      </c>
      <c r="BQ16" s="17">
        <v>0</v>
      </c>
      <c r="BR16" s="17"/>
      <c r="BS16" s="17">
        <v>7273400790</v>
      </c>
      <c r="BT16" s="17"/>
      <c r="BU16" s="17">
        <v>145468016</v>
      </c>
      <c r="BV16" s="19">
        <f t="shared" si="27"/>
        <v>0</v>
      </c>
      <c r="BW16" s="19">
        <f t="shared" si="28"/>
        <v>896711089</v>
      </c>
      <c r="BX16" s="19">
        <f t="shared" si="29"/>
        <v>69631013510.93333</v>
      </c>
      <c r="BY16" s="19">
        <f t="shared" si="30"/>
        <v>972757484</v>
      </c>
      <c r="BZ16" s="19">
        <f t="shared" si="30"/>
        <v>419862789</v>
      </c>
      <c r="CA16" s="17">
        <v>0</v>
      </c>
      <c r="CB16" s="17">
        <f>VLOOKUP(A16,Hoja3!$B$3:$F$34,5,0)</f>
        <v>457150773</v>
      </c>
      <c r="CC16" s="17">
        <f>VLOOKUP(A16,Hoja3!$B$3:$E$35,4,0)</f>
        <v>5978073926</v>
      </c>
      <c r="CD16" s="17"/>
      <c r="CE16" s="17"/>
      <c r="CF16" s="19">
        <f t="shared" si="31"/>
        <v>0</v>
      </c>
      <c r="CG16" s="19">
        <f t="shared" si="32"/>
        <v>1353861862</v>
      </c>
      <c r="CH16" s="19">
        <f t="shared" si="33"/>
        <v>75609087436.93333</v>
      </c>
      <c r="CI16" s="19">
        <f t="shared" si="34"/>
        <v>972757484</v>
      </c>
      <c r="CJ16" s="19">
        <f t="shared" si="35"/>
        <v>419862789</v>
      </c>
    </row>
    <row r="17" spans="1:88" ht="12.75">
      <c r="A17" s="14">
        <v>8903990106</v>
      </c>
      <c r="B17" s="14">
        <v>890399010</v>
      </c>
      <c r="C17" s="14">
        <v>120676000</v>
      </c>
      <c r="D17" s="15" t="s">
        <v>26</v>
      </c>
      <c r="E17" s="22" t="s">
        <v>202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64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v>3102561336</v>
      </c>
      <c r="AR17" s="18">
        <v>797443862</v>
      </c>
      <c r="AS17" s="18"/>
      <c r="AT17" s="18">
        <v>1603090019</v>
      </c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1828748324</v>
      </c>
      <c r="AY17" s="17">
        <v>0</v>
      </c>
      <c r="AZ17" s="17"/>
      <c r="BA17" s="17">
        <v>11282915242</v>
      </c>
      <c r="BB17" s="17"/>
      <c r="BC17" s="19">
        <f t="shared" si="18"/>
        <v>0</v>
      </c>
      <c r="BD17" s="19">
        <f t="shared" si="19"/>
        <v>1692437286.5</v>
      </c>
      <c r="BE17" s="19">
        <f t="shared" si="20"/>
        <v>105822892738.26666</v>
      </c>
      <c r="BF17" s="19">
        <f t="shared" si="21"/>
        <v>1828748324</v>
      </c>
      <c r="BG17" s="17">
        <v>0</v>
      </c>
      <c r="BH17" s="17"/>
      <c r="BI17" s="17">
        <v>11282915242</v>
      </c>
      <c r="BJ17" s="17"/>
      <c r="BK17" s="17">
        <v>513367837</v>
      </c>
      <c r="BL17" s="19">
        <f t="shared" si="22"/>
        <v>0</v>
      </c>
      <c r="BM17" s="19">
        <f t="shared" si="23"/>
        <v>1692437286.5</v>
      </c>
      <c r="BN17" s="19">
        <f t="shared" si="24"/>
        <v>117105807980.26666</v>
      </c>
      <c r="BO17" s="19">
        <f t="shared" si="25"/>
        <v>1828748324</v>
      </c>
      <c r="BP17" s="81">
        <f t="shared" si="26"/>
        <v>513367837</v>
      </c>
      <c r="BQ17" s="17">
        <v>0</v>
      </c>
      <c r="BR17" s="17"/>
      <c r="BS17" s="17">
        <v>13670136840</v>
      </c>
      <c r="BT17" s="17"/>
      <c r="BU17" s="17">
        <v>273402737</v>
      </c>
      <c r="BV17" s="19">
        <f t="shared" si="27"/>
        <v>0</v>
      </c>
      <c r="BW17" s="19">
        <f t="shared" si="28"/>
        <v>1692437286.5</v>
      </c>
      <c r="BX17" s="19">
        <f t="shared" si="29"/>
        <v>130775944820.26666</v>
      </c>
      <c r="BY17" s="19">
        <f t="shared" si="30"/>
        <v>1828748324</v>
      </c>
      <c r="BZ17" s="19">
        <f t="shared" si="30"/>
        <v>786770574</v>
      </c>
      <c r="CA17" s="17">
        <v>0</v>
      </c>
      <c r="CB17" s="17">
        <f>VLOOKUP(A17,Hoja3!$B$3:$F$34,5,0)</f>
        <v>862818608</v>
      </c>
      <c r="CC17" s="17">
        <f>VLOOKUP(A17,Hoja3!$B$3:$E$35,4,0)</f>
        <v>11282915242</v>
      </c>
      <c r="CD17" s="17"/>
      <c r="CE17" s="17"/>
      <c r="CF17" s="19">
        <f t="shared" si="31"/>
        <v>0</v>
      </c>
      <c r="CG17" s="19">
        <f t="shared" si="32"/>
        <v>2555255894.5</v>
      </c>
      <c r="CH17" s="19">
        <f t="shared" si="33"/>
        <v>142058860062.26666</v>
      </c>
      <c r="CI17" s="19">
        <f t="shared" si="34"/>
        <v>1828748324</v>
      </c>
      <c r="CJ17" s="19">
        <f t="shared" si="35"/>
        <v>786770574</v>
      </c>
    </row>
    <row r="18" spans="1:88" ht="12.75">
      <c r="A18" s="14">
        <v>8904801235</v>
      </c>
      <c r="B18" s="14">
        <v>890480123</v>
      </c>
      <c r="C18" s="14">
        <v>122613000</v>
      </c>
      <c r="D18" s="15" t="s">
        <v>27</v>
      </c>
      <c r="E18" s="16" t="s">
        <v>203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64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v>1348743135</v>
      </c>
      <c r="AR18" s="18">
        <v>387476478</v>
      </c>
      <c r="AS18" s="18"/>
      <c r="AT18" s="18">
        <v>572343499</v>
      </c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651860897</v>
      </c>
      <c r="AY18" s="17">
        <v>0</v>
      </c>
      <c r="AZ18" s="17"/>
      <c r="BA18" s="17">
        <v>3975869911</v>
      </c>
      <c r="BB18" s="17"/>
      <c r="BC18" s="19">
        <f t="shared" si="18"/>
        <v>0</v>
      </c>
      <c r="BD18" s="19">
        <f t="shared" si="19"/>
        <v>596380486.5</v>
      </c>
      <c r="BE18" s="19">
        <f t="shared" si="20"/>
        <v>37917657955.66667</v>
      </c>
      <c r="BF18" s="19">
        <f t="shared" si="21"/>
        <v>651860897</v>
      </c>
      <c r="BG18" s="17">
        <v>0</v>
      </c>
      <c r="BH18" s="17"/>
      <c r="BI18" s="17">
        <v>3975869911</v>
      </c>
      <c r="BJ18" s="17"/>
      <c r="BK18" s="17">
        <v>186009659</v>
      </c>
      <c r="BL18" s="19">
        <f t="shared" si="22"/>
        <v>0</v>
      </c>
      <c r="BM18" s="19">
        <f t="shared" si="23"/>
        <v>596380486.5</v>
      </c>
      <c r="BN18" s="19">
        <f t="shared" si="24"/>
        <v>41893527866.66667</v>
      </c>
      <c r="BO18" s="19">
        <f t="shared" si="25"/>
        <v>651860897</v>
      </c>
      <c r="BP18" s="81">
        <f t="shared" si="26"/>
        <v>186009659</v>
      </c>
      <c r="BQ18" s="17">
        <v>0</v>
      </c>
      <c r="BR18" s="17"/>
      <c r="BS18" s="17">
        <v>4867615999</v>
      </c>
      <c r="BT18" s="17"/>
      <c r="BU18" s="17">
        <v>97352320</v>
      </c>
      <c r="BV18" s="19">
        <f t="shared" si="27"/>
        <v>0</v>
      </c>
      <c r="BW18" s="19">
        <f t="shared" si="28"/>
        <v>596380486.5</v>
      </c>
      <c r="BX18" s="19">
        <f t="shared" si="29"/>
        <v>46761143865.66667</v>
      </c>
      <c r="BY18" s="19">
        <f t="shared" si="30"/>
        <v>651860897</v>
      </c>
      <c r="BZ18" s="19">
        <f t="shared" si="30"/>
        <v>283361979</v>
      </c>
      <c r="CA18" s="17">
        <v>0</v>
      </c>
      <c r="CB18" s="17">
        <f>VLOOKUP(A18,Hoja3!$B$3:$F$34,5,0)</f>
        <v>304039733</v>
      </c>
      <c r="CC18" s="17">
        <f>VLOOKUP(A18,Hoja3!$B$3:$E$35,4,0)</f>
        <v>3975869911</v>
      </c>
      <c r="CD18" s="17"/>
      <c r="CE18" s="17"/>
      <c r="CF18" s="19">
        <f t="shared" si="31"/>
        <v>0</v>
      </c>
      <c r="CG18" s="19">
        <f t="shared" si="32"/>
        <v>900420219.5</v>
      </c>
      <c r="CH18" s="19">
        <f t="shared" si="33"/>
        <v>50737013776.66667</v>
      </c>
      <c r="CI18" s="19">
        <f t="shared" si="34"/>
        <v>651860897</v>
      </c>
      <c r="CJ18" s="19">
        <f t="shared" si="35"/>
        <v>283361979</v>
      </c>
    </row>
    <row r="19" spans="1:88" ht="12.75">
      <c r="A19" s="14">
        <v>8905006226</v>
      </c>
      <c r="B19" s="14">
        <v>890500622</v>
      </c>
      <c r="C19" s="14">
        <v>125354000</v>
      </c>
      <c r="D19" s="15" t="s">
        <v>192</v>
      </c>
      <c r="E19" s="22" t="s">
        <v>29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64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v>2038524375</v>
      </c>
      <c r="AR19" s="18">
        <v>406751980</v>
      </c>
      <c r="AS19" s="18"/>
      <c r="AT19" s="18">
        <v>253290396</v>
      </c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287448097</v>
      </c>
      <c r="AY19" s="17">
        <v>0</v>
      </c>
      <c r="AZ19" s="17"/>
      <c r="BA19" s="17">
        <v>1707885039</v>
      </c>
      <c r="BB19" s="17"/>
      <c r="BC19" s="19">
        <f t="shared" si="18"/>
        <v>0</v>
      </c>
      <c r="BD19" s="19">
        <f t="shared" si="19"/>
        <v>256182756</v>
      </c>
      <c r="BE19" s="19">
        <f t="shared" si="20"/>
        <v>18118814154.666664</v>
      </c>
      <c r="BF19" s="19">
        <f t="shared" si="21"/>
        <v>287448097</v>
      </c>
      <c r="BG19" s="17">
        <v>0</v>
      </c>
      <c r="BH19" s="17"/>
      <c r="BI19" s="17">
        <v>1707885039</v>
      </c>
      <c r="BJ19" s="17"/>
      <c r="BK19" s="17">
        <v>109085890</v>
      </c>
      <c r="BL19" s="19">
        <f t="shared" si="22"/>
        <v>0</v>
      </c>
      <c r="BM19" s="19">
        <f t="shared" si="23"/>
        <v>256182756</v>
      </c>
      <c r="BN19" s="19">
        <f t="shared" si="24"/>
        <v>19826699193.666664</v>
      </c>
      <c r="BO19" s="19">
        <f t="shared" si="25"/>
        <v>287448097</v>
      </c>
      <c r="BP19" s="81">
        <f t="shared" si="26"/>
        <v>109085890</v>
      </c>
      <c r="BQ19" s="17">
        <v>0</v>
      </c>
      <c r="BR19" s="17"/>
      <c r="BS19" s="17">
        <v>2100535293</v>
      </c>
      <c r="BT19" s="17"/>
      <c r="BU19" s="17">
        <v>42010707</v>
      </c>
      <c r="BV19" s="19">
        <f t="shared" si="27"/>
        <v>0</v>
      </c>
      <c r="BW19" s="19">
        <f t="shared" si="28"/>
        <v>256182756</v>
      </c>
      <c r="BX19" s="19">
        <f t="shared" si="29"/>
        <v>21927234486.666664</v>
      </c>
      <c r="BY19" s="19">
        <f t="shared" si="30"/>
        <v>287448097</v>
      </c>
      <c r="BZ19" s="19">
        <f t="shared" si="30"/>
        <v>151096597</v>
      </c>
      <c r="CA19" s="17">
        <v>0</v>
      </c>
      <c r="CB19" s="17">
        <f>VLOOKUP(A19,Hoja3!$B$3:$F$34,5,0)</f>
        <v>130604100</v>
      </c>
      <c r="CC19" s="17">
        <f>VLOOKUP(A19,Hoja3!$B$3:$E$35,4,0)</f>
        <v>1707885039</v>
      </c>
      <c r="CD19" s="17"/>
      <c r="CE19" s="17"/>
      <c r="CF19" s="19">
        <f t="shared" si="31"/>
        <v>0</v>
      </c>
      <c r="CG19" s="19">
        <f t="shared" si="32"/>
        <v>386786856</v>
      </c>
      <c r="CH19" s="19">
        <f t="shared" si="33"/>
        <v>23635119525.666664</v>
      </c>
      <c r="CI19" s="19">
        <f t="shared" si="34"/>
        <v>287448097</v>
      </c>
      <c r="CJ19" s="19">
        <f t="shared" si="35"/>
        <v>151096597</v>
      </c>
    </row>
    <row r="20" spans="1:88" ht="12.75">
      <c r="A20" s="14">
        <v>8905015104</v>
      </c>
      <c r="B20" s="14">
        <v>890501510</v>
      </c>
      <c r="C20" s="14">
        <v>125454000</v>
      </c>
      <c r="D20" s="15" t="s">
        <v>30</v>
      </c>
      <c r="E20" s="16" t="s">
        <v>31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64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v>1798066006</v>
      </c>
      <c r="AR20" s="18">
        <v>1182989493</v>
      </c>
      <c r="AS20" s="18"/>
      <c r="AT20" s="18">
        <v>302590783</v>
      </c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345070491</v>
      </c>
      <c r="AY20" s="17">
        <v>0</v>
      </c>
      <c r="AZ20" s="17"/>
      <c r="BA20" s="17">
        <v>1956264133</v>
      </c>
      <c r="BB20" s="17"/>
      <c r="BC20" s="19">
        <f t="shared" si="18"/>
        <v>0</v>
      </c>
      <c r="BD20" s="19">
        <f t="shared" si="19"/>
        <v>293439620</v>
      </c>
      <c r="BE20" s="19">
        <f t="shared" si="20"/>
        <v>20840133407.86667</v>
      </c>
      <c r="BF20" s="19">
        <f t="shared" si="21"/>
        <v>345070491</v>
      </c>
      <c r="BG20" s="17">
        <v>0</v>
      </c>
      <c r="BH20" s="17"/>
      <c r="BI20" s="17">
        <v>1956264133</v>
      </c>
      <c r="BJ20" s="17"/>
      <c r="BK20" s="17">
        <v>114211886</v>
      </c>
      <c r="BL20" s="19">
        <f t="shared" si="22"/>
        <v>0</v>
      </c>
      <c r="BM20" s="19">
        <f t="shared" si="23"/>
        <v>293439620</v>
      </c>
      <c r="BN20" s="19">
        <f t="shared" si="24"/>
        <v>22796397540.86667</v>
      </c>
      <c r="BO20" s="19">
        <f t="shared" si="25"/>
        <v>345070491</v>
      </c>
      <c r="BP20" s="81">
        <f t="shared" si="26"/>
        <v>114211886</v>
      </c>
      <c r="BQ20" s="17">
        <v>0</v>
      </c>
      <c r="BR20" s="17"/>
      <c r="BS20" s="17">
        <v>2385257377</v>
      </c>
      <c r="BT20" s="17"/>
      <c r="BU20" s="17">
        <v>47705148</v>
      </c>
      <c r="BV20" s="19">
        <f t="shared" si="27"/>
        <v>0</v>
      </c>
      <c r="BW20" s="19">
        <f t="shared" si="28"/>
        <v>293439620</v>
      </c>
      <c r="BX20" s="19">
        <f t="shared" si="29"/>
        <v>25181654917.86667</v>
      </c>
      <c r="BY20" s="19">
        <f t="shared" si="30"/>
        <v>345070491</v>
      </c>
      <c r="BZ20" s="19">
        <f t="shared" si="30"/>
        <v>161917034</v>
      </c>
      <c r="CA20" s="17">
        <v>0</v>
      </c>
      <c r="CB20" s="17">
        <f>VLOOKUP(A20,Hoja3!$B$3:$F$34,5,0)</f>
        <v>149597959</v>
      </c>
      <c r="CC20" s="17">
        <f>VLOOKUP(A20,Hoja3!$B$3:$E$35,4,0)</f>
        <v>1956264133</v>
      </c>
      <c r="CD20" s="17"/>
      <c r="CE20" s="17"/>
      <c r="CF20" s="19">
        <f t="shared" si="31"/>
        <v>0</v>
      </c>
      <c r="CG20" s="19">
        <f t="shared" si="32"/>
        <v>443037579</v>
      </c>
      <c r="CH20" s="19">
        <f t="shared" si="33"/>
        <v>27137919050.86667</v>
      </c>
      <c r="CI20" s="19">
        <f t="shared" si="34"/>
        <v>345070491</v>
      </c>
      <c r="CJ20" s="19">
        <f t="shared" si="35"/>
        <v>161917034</v>
      </c>
    </row>
    <row r="21" spans="1:88" ht="12.75">
      <c r="A21" s="14">
        <v>8906800622</v>
      </c>
      <c r="B21" s="14">
        <v>890680062</v>
      </c>
      <c r="C21" s="14">
        <v>127625000</v>
      </c>
      <c r="D21" s="15" t="s">
        <v>32</v>
      </c>
      <c r="E21" s="16" t="s">
        <v>33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64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v>1810523831</v>
      </c>
      <c r="AR21" s="18">
        <v>721723233</v>
      </c>
      <c r="AS21" s="18"/>
      <c r="AT21" s="18">
        <v>113284063</v>
      </c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130223253</v>
      </c>
      <c r="AY21" s="17">
        <v>0</v>
      </c>
      <c r="AZ21" s="17"/>
      <c r="BA21" s="17">
        <v>667426010</v>
      </c>
      <c r="BB21" s="17"/>
      <c r="BC21" s="19">
        <f t="shared" si="18"/>
        <v>0</v>
      </c>
      <c r="BD21" s="19">
        <f t="shared" si="19"/>
        <v>100113901.5</v>
      </c>
      <c r="BE21" s="19">
        <f t="shared" si="20"/>
        <v>8809579054.133333</v>
      </c>
      <c r="BF21" s="19">
        <f t="shared" si="21"/>
        <v>130223253</v>
      </c>
      <c r="BG21" s="17">
        <v>0</v>
      </c>
      <c r="BH21" s="17"/>
      <c r="BI21" s="17">
        <v>667426010</v>
      </c>
      <c r="BJ21" s="17"/>
      <c r="BK21" s="17">
        <v>62907517</v>
      </c>
      <c r="BL21" s="19">
        <f t="shared" si="22"/>
        <v>0</v>
      </c>
      <c r="BM21" s="19">
        <f t="shared" si="23"/>
        <v>100113901.5</v>
      </c>
      <c r="BN21" s="19">
        <f t="shared" si="24"/>
        <v>9477005064.133333</v>
      </c>
      <c r="BO21" s="19">
        <f t="shared" si="25"/>
        <v>130223253</v>
      </c>
      <c r="BP21" s="81">
        <f t="shared" si="26"/>
        <v>62907517</v>
      </c>
      <c r="BQ21" s="17">
        <v>0</v>
      </c>
      <c r="BR21" s="17"/>
      <c r="BS21" s="17">
        <v>837646201</v>
      </c>
      <c r="BT21" s="17"/>
      <c r="BU21" s="17">
        <v>16752923</v>
      </c>
      <c r="BV21" s="19">
        <f t="shared" si="27"/>
        <v>0</v>
      </c>
      <c r="BW21" s="19">
        <f t="shared" si="28"/>
        <v>100113901.5</v>
      </c>
      <c r="BX21" s="19">
        <f t="shared" si="29"/>
        <v>10314651265.133333</v>
      </c>
      <c r="BY21" s="19">
        <f t="shared" si="30"/>
        <v>130223253</v>
      </c>
      <c r="BZ21" s="19">
        <f t="shared" si="30"/>
        <v>79660440</v>
      </c>
      <c r="CA21" s="17">
        <v>0</v>
      </c>
      <c r="CB21" s="17">
        <f>VLOOKUP(A21,Hoja3!$B$3:$F$34,5,0)</f>
        <v>51038900</v>
      </c>
      <c r="CC21" s="17">
        <f>VLOOKUP(A21,Hoja3!$B$3:$E$35,4,0)</f>
        <v>667426010</v>
      </c>
      <c r="CD21" s="17"/>
      <c r="CE21" s="17"/>
      <c r="CF21" s="19">
        <f t="shared" si="31"/>
        <v>0</v>
      </c>
      <c r="CG21" s="19">
        <f t="shared" si="32"/>
        <v>151152801.5</v>
      </c>
      <c r="CH21" s="19">
        <f t="shared" si="33"/>
        <v>10982077275.133333</v>
      </c>
      <c r="CI21" s="19">
        <f t="shared" si="34"/>
        <v>130223253</v>
      </c>
      <c r="CJ21" s="19">
        <f t="shared" si="35"/>
        <v>79660440</v>
      </c>
    </row>
    <row r="22" spans="1:88" ht="12.75">
      <c r="A22" s="14">
        <v>8907006407</v>
      </c>
      <c r="B22" s="14">
        <v>890700640</v>
      </c>
      <c r="C22" s="14">
        <v>129373000</v>
      </c>
      <c r="D22" s="15" t="s">
        <v>34</v>
      </c>
      <c r="E22" s="22" t="s">
        <v>204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64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v>2210037542</v>
      </c>
      <c r="AR22" s="18">
        <v>1617793252</v>
      </c>
      <c r="AS22" s="18"/>
      <c r="AT22" s="18">
        <v>358536082</v>
      </c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404229381</v>
      </c>
      <c r="AY22" s="17">
        <v>0</v>
      </c>
      <c r="AZ22" s="17"/>
      <c r="BA22" s="17">
        <v>2284664965</v>
      </c>
      <c r="BB22" s="17"/>
      <c r="BC22" s="19">
        <f t="shared" si="18"/>
        <v>0</v>
      </c>
      <c r="BD22" s="19">
        <f t="shared" si="19"/>
        <v>342698995</v>
      </c>
      <c r="BE22" s="19">
        <f t="shared" si="20"/>
        <v>24706166578</v>
      </c>
      <c r="BF22" s="19">
        <f t="shared" si="21"/>
        <v>404229381</v>
      </c>
      <c r="BG22" s="17">
        <v>0</v>
      </c>
      <c r="BH22" s="17"/>
      <c r="BI22" s="17">
        <v>2284664965</v>
      </c>
      <c r="BJ22" s="17"/>
      <c r="BK22" s="17">
        <v>135587349</v>
      </c>
      <c r="BL22" s="19">
        <f t="shared" si="22"/>
        <v>0</v>
      </c>
      <c r="BM22" s="19">
        <f t="shared" si="23"/>
        <v>342698995</v>
      </c>
      <c r="BN22" s="19">
        <f t="shared" si="24"/>
        <v>26990831543</v>
      </c>
      <c r="BO22" s="19">
        <f t="shared" si="25"/>
        <v>404229381</v>
      </c>
      <c r="BP22" s="81">
        <f t="shared" si="26"/>
        <v>135587349</v>
      </c>
      <c r="BQ22" s="17">
        <v>0</v>
      </c>
      <c r="BR22" s="17"/>
      <c r="BS22" s="17">
        <v>2798300966</v>
      </c>
      <c r="BT22" s="17"/>
      <c r="BU22" s="17">
        <v>55966019</v>
      </c>
      <c r="BV22" s="19">
        <f t="shared" si="27"/>
        <v>0</v>
      </c>
      <c r="BW22" s="19">
        <f t="shared" si="28"/>
        <v>342698995</v>
      </c>
      <c r="BX22" s="19">
        <f t="shared" si="29"/>
        <v>29789132509</v>
      </c>
      <c r="BY22" s="19">
        <f t="shared" si="30"/>
        <v>404229381</v>
      </c>
      <c r="BZ22" s="19">
        <f t="shared" si="30"/>
        <v>191553368</v>
      </c>
      <c r="CA22" s="17">
        <v>0</v>
      </c>
      <c r="CB22" s="17">
        <f>VLOOKUP(A22,Hoja3!$B$3:$F$34,5,0)</f>
        <v>174710799</v>
      </c>
      <c r="CC22" s="17">
        <f>VLOOKUP(A22,Hoja3!$B$3:$E$35,4,0)</f>
        <v>2284664965</v>
      </c>
      <c r="CD22" s="17"/>
      <c r="CE22" s="17"/>
      <c r="CF22" s="19">
        <f t="shared" si="31"/>
        <v>0</v>
      </c>
      <c r="CG22" s="19">
        <f t="shared" si="32"/>
        <v>517409794</v>
      </c>
      <c r="CH22" s="19">
        <f t="shared" si="33"/>
        <v>32073797474</v>
      </c>
      <c r="CI22" s="19">
        <f t="shared" si="34"/>
        <v>404229381</v>
      </c>
      <c r="CJ22" s="19">
        <f t="shared" si="35"/>
        <v>191553368</v>
      </c>
    </row>
    <row r="23" spans="1:88" ht="12.75">
      <c r="A23" s="14">
        <v>8907009060</v>
      </c>
      <c r="B23" s="14">
        <v>890700906</v>
      </c>
      <c r="C23" s="14">
        <v>128873000</v>
      </c>
      <c r="D23" s="15" t="s">
        <v>193</v>
      </c>
      <c r="E23" s="16" t="s">
        <v>36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64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>
        <v>0</v>
      </c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  <c r="AY23" s="17">
        <v>0</v>
      </c>
      <c r="AZ23" s="17"/>
      <c r="BA23" s="17">
        <v>63845174</v>
      </c>
      <c r="BB23" s="17"/>
      <c r="BC23" s="19">
        <f t="shared" si="18"/>
        <v>0</v>
      </c>
      <c r="BD23" s="19">
        <f t="shared" si="19"/>
        <v>0</v>
      </c>
      <c r="BE23" s="19">
        <f t="shared" si="20"/>
        <v>446916218</v>
      </c>
      <c r="BF23" s="19">
        <f t="shared" si="21"/>
        <v>0</v>
      </c>
      <c r="BG23" s="17">
        <v>0</v>
      </c>
      <c r="BH23" s="17"/>
      <c r="BI23" s="17">
        <v>63845174</v>
      </c>
      <c r="BJ23" s="17"/>
      <c r="BK23" s="17">
        <v>0</v>
      </c>
      <c r="BL23" s="19">
        <f t="shared" si="22"/>
        <v>0</v>
      </c>
      <c r="BM23" s="19">
        <f t="shared" si="23"/>
        <v>0</v>
      </c>
      <c r="BN23" s="19">
        <f t="shared" si="24"/>
        <v>510761392</v>
      </c>
      <c r="BO23" s="19">
        <f t="shared" si="25"/>
        <v>0</v>
      </c>
      <c r="BP23" s="81">
        <f t="shared" si="26"/>
        <v>0</v>
      </c>
      <c r="BQ23" s="17">
        <v>0</v>
      </c>
      <c r="BR23" s="17"/>
      <c r="BS23" s="17">
        <v>63845174</v>
      </c>
      <c r="BT23" s="17"/>
      <c r="BU23" s="17">
        <v>0</v>
      </c>
      <c r="BV23" s="19">
        <f t="shared" si="27"/>
        <v>0</v>
      </c>
      <c r="BW23" s="19">
        <f t="shared" si="28"/>
        <v>0</v>
      </c>
      <c r="BX23" s="19">
        <f t="shared" si="29"/>
        <v>574606566</v>
      </c>
      <c r="BY23" s="19">
        <f t="shared" si="30"/>
        <v>0</v>
      </c>
      <c r="BZ23" s="19">
        <f t="shared" si="30"/>
        <v>0</v>
      </c>
      <c r="CA23" s="17">
        <v>0</v>
      </c>
      <c r="CB23" s="17">
        <v>0</v>
      </c>
      <c r="CC23" s="17">
        <f>VLOOKUP(A23,Hoja3!$B$37:$C$50,2,0)</f>
        <v>63845174</v>
      </c>
      <c r="CD23" s="17"/>
      <c r="CE23" s="17"/>
      <c r="CF23" s="19">
        <f t="shared" si="31"/>
        <v>0</v>
      </c>
      <c r="CG23" s="19">
        <f t="shared" si="32"/>
        <v>0</v>
      </c>
      <c r="CH23" s="19">
        <f t="shared" si="33"/>
        <v>638451740</v>
      </c>
      <c r="CI23" s="19">
        <f t="shared" si="34"/>
        <v>0</v>
      </c>
      <c r="CJ23" s="19">
        <f t="shared" si="35"/>
        <v>0</v>
      </c>
    </row>
    <row r="24" spans="1:88" ht="12.75">
      <c r="A24" s="14">
        <v>8908010630</v>
      </c>
      <c r="B24" s="14">
        <v>890801063</v>
      </c>
      <c r="C24" s="14">
        <v>27017000</v>
      </c>
      <c r="D24" s="15" t="s">
        <v>37</v>
      </c>
      <c r="E24" s="22" t="s">
        <v>205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64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v>1303649056</v>
      </c>
      <c r="AR24" s="18">
        <v>552722041</v>
      </c>
      <c r="AS24" s="18"/>
      <c r="AT24" s="18">
        <v>716109905</v>
      </c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810433702</v>
      </c>
      <c r="AY24" s="17">
        <v>992908558</v>
      </c>
      <c r="AZ24" s="17"/>
      <c r="BA24" s="17">
        <v>3723281310</v>
      </c>
      <c r="BB24" s="17"/>
      <c r="BC24" s="19">
        <f t="shared" si="18"/>
        <v>7943268464.2</v>
      </c>
      <c r="BD24" s="19">
        <f t="shared" si="19"/>
        <v>3554279985.5</v>
      </c>
      <c r="BE24" s="19">
        <f t="shared" si="20"/>
        <v>35781110553.46667</v>
      </c>
      <c r="BF24" s="19">
        <f t="shared" si="21"/>
        <v>810433702</v>
      </c>
      <c r="BG24" s="17">
        <v>992908558</v>
      </c>
      <c r="BH24" s="17"/>
      <c r="BI24" s="17">
        <v>3723281310</v>
      </c>
      <c r="BJ24" s="17"/>
      <c r="BK24" s="17">
        <v>214720575</v>
      </c>
      <c r="BL24" s="19">
        <f t="shared" si="22"/>
        <v>8936177022.2</v>
      </c>
      <c r="BM24" s="19">
        <f t="shared" si="23"/>
        <v>3554279985.5</v>
      </c>
      <c r="BN24" s="19">
        <f t="shared" si="24"/>
        <v>39504391863.46667</v>
      </c>
      <c r="BO24" s="19">
        <f t="shared" si="25"/>
        <v>810433702</v>
      </c>
      <c r="BP24" s="81">
        <f t="shared" si="26"/>
        <v>214720575</v>
      </c>
      <c r="BQ24" s="17">
        <v>992908558</v>
      </c>
      <c r="BR24" s="17"/>
      <c r="BS24" s="17">
        <v>4778697320</v>
      </c>
      <c r="BT24" s="17"/>
      <c r="BU24" s="17">
        <v>115432117</v>
      </c>
      <c r="BV24" s="19">
        <f t="shared" si="27"/>
        <v>9929085580.2</v>
      </c>
      <c r="BW24" s="19">
        <f t="shared" si="28"/>
        <v>3554279985.5</v>
      </c>
      <c r="BX24" s="19">
        <f t="shared" si="29"/>
        <v>44283089183.46667</v>
      </c>
      <c r="BY24" s="19">
        <f t="shared" si="30"/>
        <v>810433702</v>
      </c>
      <c r="BZ24" s="19">
        <f t="shared" si="30"/>
        <v>330152692</v>
      </c>
      <c r="CA24" s="17">
        <f>VLOOKUP(A24,Hoja3!$B$54:$C$59,2,0)</f>
        <v>992908558</v>
      </c>
      <c r="CB24" s="17">
        <f>VLOOKUP(A24,Hoja3!$B$3:$F$34,5,0)</f>
        <v>375797461</v>
      </c>
      <c r="CC24" s="17">
        <f>VLOOKUP(A24,Hoja3!$B$3:$E$35,4,0)</f>
        <v>3723281310</v>
      </c>
      <c r="CD24" s="17"/>
      <c r="CE24" s="17"/>
      <c r="CF24" s="19">
        <f t="shared" si="31"/>
        <v>10921994138.2</v>
      </c>
      <c r="CG24" s="19">
        <f t="shared" si="32"/>
        <v>3930077446.5</v>
      </c>
      <c r="CH24" s="19">
        <f t="shared" si="33"/>
        <v>48006370493.46667</v>
      </c>
      <c r="CI24" s="19">
        <f t="shared" si="34"/>
        <v>810433702</v>
      </c>
      <c r="CJ24" s="19">
        <f t="shared" si="35"/>
        <v>330152692</v>
      </c>
    </row>
    <row r="25" spans="1:88" ht="12.75">
      <c r="A25" s="14">
        <v>8908026784</v>
      </c>
      <c r="B25" s="14">
        <v>890802678</v>
      </c>
      <c r="C25" s="14">
        <v>825717000</v>
      </c>
      <c r="D25" s="15" t="s">
        <v>194</v>
      </c>
      <c r="E25" s="16" t="s">
        <v>39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64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>
        <v>0</v>
      </c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  <c r="AY25" s="17">
        <v>0</v>
      </c>
      <c r="AZ25" s="17"/>
      <c r="BA25" s="17">
        <v>128187289</v>
      </c>
      <c r="BB25" s="17"/>
      <c r="BC25" s="19">
        <f t="shared" si="18"/>
        <v>0</v>
      </c>
      <c r="BD25" s="19">
        <f t="shared" si="19"/>
        <v>0</v>
      </c>
      <c r="BE25" s="19">
        <f t="shared" si="20"/>
        <v>897311023</v>
      </c>
      <c r="BF25" s="19">
        <f t="shared" si="21"/>
        <v>2563746</v>
      </c>
      <c r="BG25" s="17">
        <v>0</v>
      </c>
      <c r="BH25" s="17"/>
      <c r="BI25" s="17">
        <v>128187289</v>
      </c>
      <c r="BJ25" s="17"/>
      <c r="BK25" s="17">
        <v>17946222</v>
      </c>
      <c r="BL25" s="19">
        <f t="shared" si="22"/>
        <v>0</v>
      </c>
      <c r="BM25" s="19">
        <f t="shared" si="23"/>
        <v>0</v>
      </c>
      <c r="BN25" s="19">
        <f t="shared" si="24"/>
        <v>1025498312</v>
      </c>
      <c r="BO25" s="19">
        <f t="shared" si="25"/>
        <v>2563746</v>
      </c>
      <c r="BP25" s="81">
        <f t="shared" si="26"/>
        <v>17946222</v>
      </c>
      <c r="BQ25" s="17">
        <v>0</v>
      </c>
      <c r="BR25" s="17"/>
      <c r="BS25" s="17">
        <v>128187289</v>
      </c>
      <c r="BT25" s="17"/>
      <c r="BU25" s="17">
        <v>2563746</v>
      </c>
      <c r="BV25" s="19">
        <f t="shared" si="27"/>
        <v>0</v>
      </c>
      <c r="BW25" s="19">
        <f t="shared" si="28"/>
        <v>0</v>
      </c>
      <c r="BX25" s="19">
        <f t="shared" si="29"/>
        <v>1153685601</v>
      </c>
      <c r="BY25" s="19">
        <f t="shared" si="30"/>
        <v>2563746</v>
      </c>
      <c r="BZ25" s="19">
        <f t="shared" si="30"/>
        <v>20509968</v>
      </c>
      <c r="CA25" s="17">
        <v>0</v>
      </c>
      <c r="CB25" s="17">
        <v>0</v>
      </c>
      <c r="CC25" s="17">
        <f>VLOOKUP(A25,Hoja3!$B$37:$C$50,2,0)</f>
        <v>128187289</v>
      </c>
      <c r="CD25" s="17"/>
      <c r="CE25" s="17"/>
      <c r="CF25" s="19">
        <f t="shared" si="31"/>
        <v>0</v>
      </c>
      <c r="CG25" s="19">
        <f t="shared" si="32"/>
        <v>0</v>
      </c>
      <c r="CH25" s="19">
        <f t="shared" si="33"/>
        <v>1281872890</v>
      </c>
      <c r="CI25" s="19">
        <f t="shared" si="34"/>
        <v>2563746</v>
      </c>
      <c r="CJ25" s="19">
        <f t="shared" si="35"/>
        <v>20509968</v>
      </c>
    </row>
    <row r="26" spans="1:88" ht="12.75">
      <c r="A26" s="14">
        <v>8909800408</v>
      </c>
      <c r="B26" s="14">
        <v>890980040</v>
      </c>
      <c r="C26" s="14">
        <v>120205000</v>
      </c>
      <c r="D26" s="15" t="s">
        <v>40</v>
      </c>
      <c r="E26" s="88" t="s">
        <v>97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64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v>3991435533</v>
      </c>
      <c r="AR26" s="18">
        <v>976137465</v>
      </c>
      <c r="AS26" s="18"/>
      <c r="AT26" s="18">
        <v>2128876187</v>
      </c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2429239574</v>
      </c>
      <c r="AY26" s="17">
        <v>0</v>
      </c>
      <c r="AZ26" s="17"/>
      <c r="BA26" s="17">
        <v>15018169355</v>
      </c>
      <c r="BB26" s="17"/>
      <c r="BC26" s="19">
        <f t="shared" si="18"/>
        <v>0</v>
      </c>
      <c r="BD26" s="19">
        <f t="shared" si="19"/>
        <v>2252725403</v>
      </c>
      <c r="BE26" s="19">
        <f t="shared" si="20"/>
        <v>140471583653.86667</v>
      </c>
      <c r="BF26" s="19">
        <f t="shared" si="21"/>
        <v>2429239574</v>
      </c>
      <c r="BG26" s="17">
        <v>0</v>
      </c>
      <c r="BH26" s="17"/>
      <c r="BI26" s="17">
        <v>15018169355</v>
      </c>
      <c r="BJ26" s="17"/>
      <c r="BK26" s="17">
        <v>680555485</v>
      </c>
      <c r="BL26" s="19">
        <f t="shared" si="22"/>
        <v>0</v>
      </c>
      <c r="BM26" s="19">
        <f t="shared" si="23"/>
        <v>2252725403</v>
      </c>
      <c r="BN26" s="19">
        <f t="shared" si="24"/>
        <v>155489753008.86667</v>
      </c>
      <c r="BO26" s="19">
        <f t="shared" si="25"/>
        <v>2429239574</v>
      </c>
      <c r="BP26" s="81">
        <f t="shared" si="26"/>
        <v>680555485</v>
      </c>
      <c r="BQ26" s="17">
        <v>0</v>
      </c>
      <c r="BR26" s="17"/>
      <c r="BS26" s="17">
        <v>18171987704</v>
      </c>
      <c r="BT26" s="17"/>
      <c r="BU26" s="17">
        <v>363439754</v>
      </c>
      <c r="BV26" s="19">
        <f t="shared" si="27"/>
        <v>0</v>
      </c>
      <c r="BW26" s="19">
        <f t="shared" si="28"/>
        <v>2252725403</v>
      </c>
      <c r="BX26" s="19">
        <f t="shared" si="29"/>
        <v>173661740712.86667</v>
      </c>
      <c r="BY26" s="19">
        <f t="shared" si="30"/>
        <v>2429239574</v>
      </c>
      <c r="BZ26" s="19">
        <f t="shared" si="30"/>
        <v>1043995239</v>
      </c>
      <c r="CA26" s="17">
        <v>0</v>
      </c>
      <c r="CB26" s="17">
        <f>VLOOKUP(A26,Hoja3!$B$3:$F$34,5,0)</f>
        <v>1148458151</v>
      </c>
      <c r="CC26" s="17">
        <f>VLOOKUP(A26,Hoja3!$B$3:$E$35,4,0)</f>
        <v>15018169355</v>
      </c>
      <c r="CD26" s="17"/>
      <c r="CE26" s="17"/>
      <c r="CF26" s="19">
        <f t="shared" si="31"/>
        <v>0</v>
      </c>
      <c r="CG26" s="19">
        <f t="shared" si="32"/>
        <v>3401183554</v>
      </c>
      <c r="CH26" s="19">
        <f t="shared" si="33"/>
        <v>188679910067.86667</v>
      </c>
      <c r="CI26" s="19">
        <f t="shared" si="34"/>
        <v>2429239574</v>
      </c>
      <c r="CJ26" s="19">
        <f t="shared" si="35"/>
        <v>1043995239</v>
      </c>
    </row>
    <row r="27" spans="1:88" ht="12.75">
      <c r="A27" s="14">
        <v>8909801341</v>
      </c>
      <c r="B27" s="14">
        <v>890980134</v>
      </c>
      <c r="C27" s="14">
        <v>824505000</v>
      </c>
      <c r="D27" s="15" t="s">
        <v>41</v>
      </c>
      <c r="E27" s="16" t="s">
        <v>42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64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>
        <v>0</v>
      </c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  <c r="AY27" s="17">
        <v>0</v>
      </c>
      <c r="AZ27" s="17"/>
      <c r="BA27" s="17">
        <v>208672338</v>
      </c>
      <c r="BB27" s="17"/>
      <c r="BC27" s="19">
        <f t="shared" si="18"/>
        <v>0</v>
      </c>
      <c r="BD27" s="19">
        <f t="shared" si="19"/>
        <v>0</v>
      </c>
      <c r="BE27" s="19">
        <f t="shared" si="20"/>
        <v>1460706366</v>
      </c>
      <c r="BF27" s="19">
        <f t="shared" si="21"/>
        <v>4173447</v>
      </c>
      <c r="BG27" s="17">
        <v>0</v>
      </c>
      <c r="BH27" s="17"/>
      <c r="BI27" s="17">
        <v>208672338</v>
      </c>
      <c r="BJ27" s="17"/>
      <c r="BK27" s="17">
        <v>29214129</v>
      </c>
      <c r="BL27" s="19">
        <f t="shared" si="22"/>
        <v>0</v>
      </c>
      <c r="BM27" s="19">
        <f t="shared" si="23"/>
        <v>0</v>
      </c>
      <c r="BN27" s="19">
        <f t="shared" si="24"/>
        <v>1669378704</v>
      </c>
      <c r="BO27" s="19">
        <f t="shared" si="25"/>
        <v>4173447</v>
      </c>
      <c r="BP27" s="81">
        <f t="shared" si="26"/>
        <v>29214129</v>
      </c>
      <c r="BQ27" s="17">
        <v>0</v>
      </c>
      <c r="BR27" s="17"/>
      <c r="BS27" s="17">
        <v>208672338</v>
      </c>
      <c r="BT27" s="17"/>
      <c r="BU27" s="17">
        <v>4173447</v>
      </c>
      <c r="BV27" s="19">
        <f t="shared" si="27"/>
        <v>0</v>
      </c>
      <c r="BW27" s="19">
        <f t="shared" si="28"/>
        <v>0</v>
      </c>
      <c r="BX27" s="19">
        <f t="shared" si="29"/>
        <v>1878051042</v>
      </c>
      <c r="BY27" s="19">
        <f t="shared" si="30"/>
        <v>4173447</v>
      </c>
      <c r="BZ27" s="19">
        <f t="shared" si="30"/>
        <v>33387576</v>
      </c>
      <c r="CA27" s="17">
        <v>0</v>
      </c>
      <c r="CB27" s="17">
        <v>0</v>
      </c>
      <c r="CC27" s="17">
        <f>VLOOKUP(A27,Hoja3!$B$37:$C$50,2,0)</f>
        <v>208672338</v>
      </c>
      <c r="CD27" s="17"/>
      <c r="CE27" s="17"/>
      <c r="CF27" s="19">
        <f t="shared" si="31"/>
        <v>0</v>
      </c>
      <c r="CG27" s="19">
        <f t="shared" si="32"/>
        <v>0</v>
      </c>
      <c r="CH27" s="19">
        <f t="shared" si="33"/>
        <v>2086723380</v>
      </c>
      <c r="CI27" s="19">
        <f t="shared" si="34"/>
        <v>4173447</v>
      </c>
      <c r="CJ27" s="19">
        <f t="shared" si="35"/>
        <v>33387576</v>
      </c>
    </row>
    <row r="28" spans="1:88" ht="12.75">
      <c r="A28" s="14">
        <v>8909801501</v>
      </c>
      <c r="B28" s="14">
        <v>890980150</v>
      </c>
      <c r="C28" s="14">
        <v>824105000</v>
      </c>
      <c r="D28" s="15" t="s">
        <v>195</v>
      </c>
      <c r="E28" s="16" t="s">
        <v>44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64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>
        <v>0</v>
      </c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  <c r="AY28" s="17">
        <v>0</v>
      </c>
      <c r="AZ28" s="17"/>
      <c r="BA28" s="17">
        <v>128354046</v>
      </c>
      <c r="BB28" s="17"/>
      <c r="BC28" s="19">
        <f t="shared" si="18"/>
        <v>0</v>
      </c>
      <c r="BD28" s="19">
        <f t="shared" si="19"/>
        <v>0</v>
      </c>
      <c r="BE28" s="19">
        <f t="shared" si="20"/>
        <v>898478322</v>
      </c>
      <c r="BF28" s="19">
        <f t="shared" si="21"/>
        <v>0</v>
      </c>
      <c r="BG28" s="17">
        <v>0</v>
      </c>
      <c r="BH28" s="17"/>
      <c r="BI28" s="17">
        <v>128354046</v>
      </c>
      <c r="BJ28" s="17"/>
      <c r="BK28" s="17">
        <v>0</v>
      </c>
      <c r="BL28" s="19">
        <f t="shared" si="22"/>
        <v>0</v>
      </c>
      <c r="BM28" s="19">
        <f t="shared" si="23"/>
        <v>0</v>
      </c>
      <c r="BN28" s="19">
        <f t="shared" si="24"/>
        <v>1026832368</v>
      </c>
      <c r="BO28" s="19">
        <f t="shared" si="25"/>
        <v>0</v>
      </c>
      <c r="BP28" s="81">
        <f t="shared" si="26"/>
        <v>0</v>
      </c>
      <c r="BQ28" s="17">
        <v>0</v>
      </c>
      <c r="BR28" s="17"/>
      <c r="BS28" s="17">
        <v>128354046</v>
      </c>
      <c r="BT28" s="17"/>
      <c r="BU28" s="17">
        <v>0</v>
      </c>
      <c r="BV28" s="19">
        <f t="shared" si="27"/>
        <v>0</v>
      </c>
      <c r="BW28" s="19">
        <f t="shared" si="28"/>
        <v>0</v>
      </c>
      <c r="BX28" s="19">
        <f t="shared" si="29"/>
        <v>1155186414</v>
      </c>
      <c r="BY28" s="19">
        <f t="shared" si="30"/>
        <v>0</v>
      </c>
      <c r="BZ28" s="19">
        <f t="shared" si="30"/>
        <v>0</v>
      </c>
      <c r="CA28" s="17">
        <v>0</v>
      </c>
      <c r="CB28" s="17">
        <v>0</v>
      </c>
      <c r="CC28" s="17">
        <f>VLOOKUP(A28,Hoja3!$B$37:$C$50,2,0)</f>
        <v>128354046</v>
      </c>
      <c r="CD28" s="17"/>
      <c r="CE28" s="17"/>
      <c r="CF28" s="19">
        <f t="shared" si="31"/>
        <v>0</v>
      </c>
      <c r="CG28" s="19">
        <f t="shared" si="32"/>
        <v>0</v>
      </c>
      <c r="CH28" s="19">
        <f t="shared" si="33"/>
        <v>1283540460</v>
      </c>
      <c r="CI28" s="19">
        <f t="shared" si="34"/>
        <v>0</v>
      </c>
      <c r="CJ28" s="19">
        <f t="shared" si="35"/>
        <v>0</v>
      </c>
    </row>
    <row r="29" spans="1:88" ht="12.75">
      <c r="A29" s="14">
        <v>8910800313</v>
      </c>
      <c r="B29" s="14">
        <v>891080031</v>
      </c>
      <c r="C29" s="14">
        <v>27123000</v>
      </c>
      <c r="D29" s="15" t="s">
        <v>45</v>
      </c>
      <c r="E29" s="22" t="s">
        <v>46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64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v>1347252269</v>
      </c>
      <c r="AR29" s="18">
        <v>41540311</v>
      </c>
      <c r="AS29" s="18"/>
      <c r="AT29" s="18">
        <v>766775338</v>
      </c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876093728</v>
      </c>
      <c r="AY29" s="17">
        <v>1719875144</v>
      </c>
      <c r="AZ29" s="17"/>
      <c r="BA29" s="17">
        <v>3746044367</v>
      </c>
      <c r="BB29" s="17"/>
      <c r="BC29" s="19">
        <f t="shared" si="18"/>
        <v>13759001151.933334</v>
      </c>
      <c r="BD29" s="19">
        <f t="shared" si="19"/>
        <v>2291352402.5</v>
      </c>
      <c r="BE29" s="19">
        <f t="shared" si="20"/>
        <v>35403660129.4</v>
      </c>
      <c r="BF29" s="19">
        <f t="shared" si="21"/>
        <v>876093728</v>
      </c>
      <c r="BG29" s="17">
        <v>1719875144</v>
      </c>
      <c r="BH29" s="17"/>
      <c r="BI29" s="17">
        <v>3746044367</v>
      </c>
      <c r="BJ29" s="17"/>
      <c r="BK29" s="17">
        <v>245581825</v>
      </c>
      <c r="BL29" s="19">
        <f t="shared" si="22"/>
        <v>15478876295.933334</v>
      </c>
      <c r="BM29" s="19">
        <f t="shared" si="23"/>
        <v>2291352402.5</v>
      </c>
      <c r="BN29" s="19">
        <f t="shared" si="24"/>
        <v>39149704496.4</v>
      </c>
      <c r="BO29" s="19">
        <f t="shared" si="25"/>
        <v>876093728</v>
      </c>
      <c r="BP29" s="81">
        <f t="shared" si="26"/>
        <v>245581825</v>
      </c>
      <c r="BQ29" s="17">
        <v>1719875144</v>
      </c>
      <c r="BR29" s="17"/>
      <c r="BS29" s="17">
        <v>4935654122</v>
      </c>
      <c r="BT29" s="17"/>
      <c r="BU29" s="17">
        <v>133110585</v>
      </c>
      <c r="BV29" s="19">
        <f t="shared" si="27"/>
        <v>17198751439.933334</v>
      </c>
      <c r="BW29" s="19">
        <f t="shared" si="28"/>
        <v>2291352402.5</v>
      </c>
      <c r="BX29" s="19">
        <f t="shared" si="29"/>
        <v>44085358618.4</v>
      </c>
      <c r="BY29" s="19">
        <f t="shared" si="30"/>
        <v>876093728</v>
      </c>
      <c r="BZ29" s="19">
        <f t="shared" si="30"/>
        <v>378692410</v>
      </c>
      <c r="CA29" s="17">
        <f>VLOOKUP(A29,Hoja3!$B$54:$C$59,2,0)</f>
        <v>1719875144</v>
      </c>
      <c r="CB29" s="17">
        <f>VLOOKUP(A29,Hoja3!$B$3:$F$34,5,0)</f>
        <v>426279037</v>
      </c>
      <c r="CC29" s="17">
        <f>VLOOKUP(A29,Hoja3!$B$3:$E$35,4,0)</f>
        <v>3746044367</v>
      </c>
      <c r="CD29" s="17"/>
      <c r="CE29" s="17"/>
      <c r="CF29" s="19">
        <f t="shared" si="31"/>
        <v>18918626583.933334</v>
      </c>
      <c r="CG29" s="19">
        <f t="shared" si="32"/>
        <v>2717631439.5</v>
      </c>
      <c r="CH29" s="19">
        <f t="shared" si="33"/>
        <v>47831402985.4</v>
      </c>
      <c r="CI29" s="19">
        <f t="shared" si="34"/>
        <v>876093728</v>
      </c>
      <c r="CJ29" s="19">
        <f t="shared" si="35"/>
        <v>378692410</v>
      </c>
    </row>
    <row r="30" spans="1:88" ht="12.75">
      <c r="A30" s="14">
        <v>8911800842</v>
      </c>
      <c r="B30" s="14">
        <v>891180084</v>
      </c>
      <c r="C30" s="14">
        <v>26141000</v>
      </c>
      <c r="D30" s="15" t="s">
        <v>196</v>
      </c>
      <c r="E30" s="22" t="s">
        <v>48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64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v>1003636317</v>
      </c>
      <c r="AR30" s="18">
        <v>298801201</v>
      </c>
      <c r="AS30" s="18"/>
      <c r="AT30" s="18">
        <v>413099890</v>
      </c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469524014</v>
      </c>
      <c r="AY30" s="17">
        <v>0</v>
      </c>
      <c r="AZ30" s="17"/>
      <c r="BA30" s="17">
        <v>2602200719</v>
      </c>
      <c r="BB30" s="17"/>
      <c r="BC30" s="19">
        <f t="shared" si="18"/>
        <v>0</v>
      </c>
      <c r="BD30" s="19">
        <f t="shared" si="19"/>
        <v>2220049986</v>
      </c>
      <c r="BE30" s="19">
        <f t="shared" si="20"/>
        <v>25052213234.86667</v>
      </c>
      <c r="BF30" s="19">
        <f t="shared" si="21"/>
        <v>469524014</v>
      </c>
      <c r="BG30" s="17">
        <v>0</v>
      </c>
      <c r="BH30" s="17"/>
      <c r="BI30" s="17">
        <v>2602200719</v>
      </c>
      <c r="BJ30" s="17"/>
      <c r="BK30" s="17">
        <v>124160755</v>
      </c>
      <c r="BL30" s="19">
        <f t="shared" si="22"/>
        <v>0</v>
      </c>
      <c r="BM30" s="19">
        <f t="shared" si="23"/>
        <v>2220049986</v>
      </c>
      <c r="BN30" s="19">
        <f t="shared" si="24"/>
        <v>27654413953.86667</v>
      </c>
      <c r="BO30" s="19">
        <f t="shared" si="25"/>
        <v>469524014</v>
      </c>
      <c r="BP30" s="81">
        <f t="shared" si="26"/>
        <v>124160755</v>
      </c>
      <c r="BQ30" s="17">
        <v>0</v>
      </c>
      <c r="BR30" s="17"/>
      <c r="BS30" s="17">
        <v>3192218994</v>
      </c>
      <c r="BT30" s="17"/>
      <c r="BU30" s="17">
        <v>63844379</v>
      </c>
      <c r="BV30" s="19">
        <f t="shared" si="27"/>
        <v>0</v>
      </c>
      <c r="BW30" s="19">
        <f t="shared" si="28"/>
        <v>2220049986</v>
      </c>
      <c r="BX30" s="19">
        <f t="shared" si="29"/>
        <v>30846632947.86667</v>
      </c>
      <c r="BY30" s="19">
        <f t="shared" si="30"/>
        <v>469524014</v>
      </c>
      <c r="BZ30" s="19">
        <f t="shared" si="30"/>
        <v>188005134</v>
      </c>
      <c r="CA30" s="17">
        <v>0</v>
      </c>
      <c r="CB30" s="17">
        <f>VLOOKUP(A30,Hoja3!$B$3:$F$34,5,0)</f>
        <v>374302211</v>
      </c>
      <c r="CC30" s="17">
        <f>VLOOKUP(A30,Hoja3!$B$3:$E$35,4,0)</f>
        <v>2602200719</v>
      </c>
      <c r="CD30" s="17"/>
      <c r="CE30" s="17"/>
      <c r="CF30" s="19">
        <f t="shared" si="31"/>
        <v>0</v>
      </c>
      <c r="CG30" s="19">
        <f t="shared" si="32"/>
        <v>2594352197</v>
      </c>
      <c r="CH30" s="19">
        <f t="shared" si="33"/>
        <v>33448833666.86667</v>
      </c>
      <c r="CI30" s="19">
        <f t="shared" si="34"/>
        <v>469524014</v>
      </c>
      <c r="CJ30" s="19">
        <f t="shared" si="35"/>
        <v>188005134</v>
      </c>
    </row>
    <row r="31" spans="1:88" ht="12.75">
      <c r="A31" s="14">
        <v>8911903461</v>
      </c>
      <c r="B31" s="14">
        <v>891190346</v>
      </c>
      <c r="C31" s="14">
        <v>26318000</v>
      </c>
      <c r="D31" s="15" t="s">
        <v>49</v>
      </c>
      <c r="E31" s="22" t="s">
        <v>50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64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v>1791548983</v>
      </c>
      <c r="AR31" s="18">
        <v>285125600</v>
      </c>
      <c r="AS31" s="18"/>
      <c r="AT31" s="18">
        <v>201583577</v>
      </c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230760057</v>
      </c>
      <c r="AY31" s="17">
        <v>0</v>
      </c>
      <c r="AZ31" s="17"/>
      <c r="BA31" s="17">
        <v>1274216882</v>
      </c>
      <c r="BB31" s="17"/>
      <c r="BC31" s="19">
        <f t="shared" si="18"/>
        <v>0</v>
      </c>
      <c r="BD31" s="19">
        <f t="shared" si="19"/>
        <v>793827127</v>
      </c>
      <c r="BE31" s="19">
        <f t="shared" si="20"/>
        <v>13822768657.266666</v>
      </c>
      <c r="BF31" s="19">
        <f t="shared" si="21"/>
        <v>230760057</v>
      </c>
      <c r="BG31" s="17">
        <v>0</v>
      </c>
      <c r="BH31" s="17"/>
      <c r="BI31" s="17">
        <v>1274216882</v>
      </c>
      <c r="BJ31" s="17"/>
      <c r="BK31" s="17">
        <v>86799655</v>
      </c>
      <c r="BL31" s="19">
        <f t="shared" si="22"/>
        <v>0</v>
      </c>
      <c r="BM31" s="19">
        <f t="shared" si="23"/>
        <v>793827127</v>
      </c>
      <c r="BN31" s="19">
        <f t="shared" si="24"/>
        <v>15096985539.266666</v>
      </c>
      <c r="BO31" s="19">
        <f t="shared" si="25"/>
        <v>230760057</v>
      </c>
      <c r="BP31" s="81">
        <f t="shared" si="26"/>
        <v>86799655</v>
      </c>
      <c r="BQ31" s="17">
        <v>0</v>
      </c>
      <c r="BR31" s="17"/>
      <c r="BS31" s="17">
        <v>1572491540</v>
      </c>
      <c r="BT31" s="17"/>
      <c r="BU31" s="17">
        <v>31449831</v>
      </c>
      <c r="BV31" s="19">
        <f t="shared" si="27"/>
        <v>0</v>
      </c>
      <c r="BW31" s="19">
        <f t="shared" si="28"/>
        <v>793827127</v>
      </c>
      <c r="BX31" s="19">
        <f t="shared" si="29"/>
        <v>16669477079.266666</v>
      </c>
      <c r="BY31" s="19">
        <f t="shared" si="30"/>
        <v>230760057</v>
      </c>
      <c r="BZ31" s="19">
        <f t="shared" si="30"/>
        <v>118249486</v>
      </c>
      <c r="CA31" s="17">
        <v>0</v>
      </c>
      <c r="CB31" s="17">
        <f>VLOOKUP(A31,Hoja3!$B$3:$F$34,5,0)</f>
        <v>100653608</v>
      </c>
      <c r="CC31" s="17">
        <f>VLOOKUP(A31,Hoja3!$B$3:$E$35,4,0)</f>
        <v>1274216882</v>
      </c>
      <c r="CD31" s="17"/>
      <c r="CE31" s="17"/>
      <c r="CF31" s="19">
        <f t="shared" si="31"/>
        <v>0</v>
      </c>
      <c r="CG31" s="19">
        <f t="shared" si="32"/>
        <v>894480735</v>
      </c>
      <c r="CH31" s="19">
        <f t="shared" si="33"/>
        <v>17943693961.266666</v>
      </c>
      <c r="CI31" s="19">
        <f t="shared" si="34"/>
        <v>230760057</v>
      </c>
      <c r="CJ31" s="19">
        <f t="shared" si="35"/>
        <v>118249486</v>
      </c>
    </row>
    <row r="32" spans="1:88" ht="12.75">
      <c r="A32" s="14">
        <v>8913800335</v>
      </c>
      <c r="B32" s="14">
        <v>891380033</v>
      </c>
      <c r="C32" s="14">
        <v>211176111</v>
      </c>
      <c r="D32" s="84" t="s">
        <v>51</v>
      </c>
      <c r="E32" s="16" t="s">
        <v>172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64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>
        <v>0</v>
      </c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  <c r="AY32" s="17">
        <v>0</v>
      </c>
      <c r="AZ32" s="17"/>
      <c r="BA32" s="17">
        <v>0</v>
      </c>
      <c r="BB32" s="17"/>
      <c r="BC32" s="19">
        <f t="shared" si="18"/>
        <v>0</v>
      </c>
      <c r="BD32" s="19">
        <f t="shared" si="19"/>
        <v>0</v>
      </c>
      <c r="BE32" s="19">
        <f t="shared" si="20"/>
        <v>0</v>
      </c>
      <c r="BF32" s="19">
        <f t="shared" si="21"/>
        <v>0</v>
      </c>
      <c r="BG32" s="17">
        <v>0</v>
      </c>
      <c r="BH32" s="17"/>
      <c r="BI32" s="17">
        <v>0</v>
      </c>
      <c r="BJ32" s="17"/>
      <c r="BK32" s="17">
        <v>0</v>
      </c>
      <c r="BL32" s="19">
        <f t="shared" si="22"/>
        <v>0</v>
      </c>
      <c r="BM32" s="19">
        <f t="shared" si="23"/>
        <v>0</v>
      </c>
      <c r="BN32" s="19">
        <f t="shared" si="24"/>
        <v>0</v>
      </c>
      <c r="BO32" s="19">
        <f t="shared" si="25"/>
        <v>0</v>
      </c>
      <c r="BP32" s="81">
        <f t="shared" si="26"/>
        <v>0</v>
      </c>
      <c r="BQ32" s="17">
        <v>0</v>
      </c>
      <c r="BR32" s="17"/>
      <c r="BS32" s="17">
        <v>0</v>
      </c>
      <c r="BT32" s="17"/>
      <c r="BU32" s="17">
        <v>0</v>
      </c>
      <c r="BV32" s="19">
        <f t="shared" si="27"/>
        <v>0</v>
      </c>
      <c r="BW32" s="19">
        <f t="shared" si="28"/>
        <v>0</v>
      </c>
      <c r="BX32" s="19">
        <f t="shared" si="29"/>
        <v>0</v>
      </c>
      <c r="BY32" s="19">
        <f t="shared" si="30"/>
        <v>0</v>
      </c>
      <c r="BZ32" s="19">
        <f t="shared" si="30"/>
        <v>0</v>
      </c>
      <c r="CA32" s="17">
        <v>0</v>
      </c>
      <c r="CB32" s="17">
        <v>0</v>
      </c>
      <c r="CC32" s="17">
        <v>0</v>
      </c>
      <c r="CD32" s="17"/>
      <c r="CE32" s="17"/>
      <c r="CF32" s="19">
        <f t="shared" si="31"/>
        <v>0</v>
      </c>
      <c r="CG32" s="19">
        <f t="shared" si="32"/>
        <v>0</v>
      </c>
      <c r="CH32" s="19">
        <f t="shared" si="33"/>
        <v>0</v>
      </c>
      <c r="CI32" s="19">
        <f t="shared" si="34"/>
        <v>0</v>
      </c>
      <c r="CJ32" s="19">
        <f t="shared" si="35"/>
        <v>0</v>
      </c>
    </row>
    <row r="33" spans="1:88" ht="12.75">
      <c r="A33" s="14">
        <v>8914800359</v>
      </c>
      <c r="B33" s="14">
        <v>891480035</v>
      </c>
      <c r="C33" s="14">
        <v>24666000</v>
      </c>
      <c r="D33" s="15" t="s">
        <v>197</v>
      </c>
      <c r="E33" s="16" t="s">
        <v>174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64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v>1428266609</v>
      </c>
      <c r="AR33" s="18">
        <v>911398585</v>
      </c>
      <c r="AS33" s="18">
        <v>141638672</v>
      </c>
      <c r="AT33" s="18">
        <v>731970283</v>
      </c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826332347</v>
      </c>
      <c r="AY33" s="17">
        <v>264392632</v>
      </c>
      <c r="AZ33" s="17"/>
      <c r="BA33" s="17">
        <v>4453714970</v>
      </c>
      <c r="BB33" s="17"/>
      <c r="BC33" s="19">
        <f t="shared" si="18"/>
        <v>2115123600</v>
      </c>
      <c r="BD33" s="19">
        <f t="shared" si="19"/>
        <v>3236885028.5</v>
      </c>
      <c r="BE33" s="19">
        <f t="shared" si="20"/>
        <v>42986810336.6</v>
      </c>
      <c r="BF33" s="19">
        <f t="shared" si="21"/>
        <v>826332347</v>
      </c>
      <c r="BG33" s="17">
        <v>264392632</v>
      </c>
      <c r="BH33" s="17"/>
      <c r="BI33" s="17">
        <v>4453714970</v>
      </c>
      <c r="BJ33" s="17"/>
      <c r="BK33" s="17">
        <v>217289636</v>
      </c>
      <c r="BL33" s="19">
        <f t="shared" si="22"/>
        <v>2379516232</v>
      </c>
      <c r="BM33" s="19">
        <f t="shared" si="23"/>
        <v>3236885028.5</v>
      </c>
      <c r="BN33" s="19">
        <f t="shared" si="24"/>
        <v>47440525306.6</v>
      </c>
      <c r="BO33" s="19">
        <f t="shared" si="25"/>
        <v>826332347</v>
      </c>
      <c r="BP33" s="81">
        <f t="shared" si="26"/>
        <v>217289636</v>
      </c>
      <c r="BQ33" s="17">
        <v>264392632</v>
      </c>
      <c r="BR33" s="17"/>
      <c r="BS33" s="17">
        <v>5501155932</v>
      </c>
      <c r="BT33" s="17"/>
      <c r="BU33" s="17">
        <v>115310971</v>
      </c>
      <c r="BV33" s="19">
        <f t="shared" si="27"/>
        <v>2643908864</v>
      </c>
      <c r="BW33" s="19">
        <f t="shared" si="28"/>
        <v>3236885028.5</v>
      </c>
      <c r="BX33" s="19">
        <f t="shared" si="29"/>
        <v>52941681238.6</v>
      </c>
      <c r="BY33" s="19">
        <f t="shared" si="30"/>
        <v>826332347</v>
      </c>
      <c r="BZ33" s="19">
        <f t="shared" si="30"/>
        <v>332600607</v>
      </c>
      <c r="CA33" s="17">
        <f>VLOOKUP(A33,Hoja3!$B$54:$C$59,2,0)</f>
        <v>264392632</v>
      </c>
      <c r="CB33" s="17">
        <f>VLOOKUP(A33,Hoja3!$B$3:$F$34,5,0)</f>
        <v>178786947</v>
      </c>
      <c r="CC33" s="17">
        <f>VLOOKUP(A33,Hoja3!$B$3:$E$35,4,0)</f>
        <v>4453714970</v>
      </c>
      <c r="CD33" s="17"/>
      <c r="CE33" s="17"/>
      <c r="CF33" s="19">
        <f t="shared" si="31"/>
        <v>2908301496</v>
      </c>
      <c r="CG33" s="19">
        <f t="shared" si="32"/>
        <v>3415671975.5</v>
      </c>
      <c r="CH33" s="19">
        <f t="shared" si="33"/>
        <v>57395396208.6</v>
      </c>
      <c r="CI33" s="19">
        <f t="shared" si="34"/>
        <v>826332347</v>
      </c>
      <c r="CJ33" s="19">
        <f t="shared" si="35"/>
        <v>332600607</v>
      </c>
    </row>
    <row r="34" spans="1:88" ht="12.75">
      <c r="A34" s="14">
        <v>8915003192</v>
      </c>
      <c r="B34" s="14">
        <v>891500319</v>
      </c>
      <c r="C34" s="14">
        <v>27219000</v>
      </c>
      <c r="D34" s="15" t="s">
        <v>53</v>
      </c>
      <c r="E34" s="43" t="s">
        <v>170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64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v>1602969634</v>
      </c>
      <c r="AR34" s="18">
        <v>421814407</v>
      </c>
      <c r="AS34" s="18"/>
      <c r="AT34" s="18">
        <v>898859544</v>
      </c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1020275282</v>
      </c>
      <c r="AY34" s="17">
        <v>1076432590</v>
      </c>
      <c r="AZ34" s="17"/>
      <c r="BA34" s="17">
        <v>4994354320</v>
      </c>
      <c r="BB34" s="17"/>
      <c r="BC34" s="19">
        <f t="shared" si="18"/>
        <v>8611460719.933334</v>
      </c>
      <c r="BD34" s="19">
        <f t="shared" si="19"/>
        <v>3766558784.5</v>
      </c>
      <c r="BE34" s="19">
        <f t="shared" si="20"/>
        <v>47250239138.933334</v>
      </c>
      <c r="BF34" s="19">
        <f t="shared" si="21"/>
        <v>1020275282</v>
      </c>
      <c r="BG34" s="17">
        <v>1076432590</v>
      </c>
      <c r="BH34" s="17"/>
      <c r="BI34" s="17">
        <v>4994354320</v>
      </c>
      <c r="BJ34" s="17"/>
      <c r="BK34" s="17">
        <v>274890869</v>
      </c>
      <c r="BL34" s="19">
        <f t="shared" si="22"/>
        <v>9687893309.933334</v>
      </c>
      <c r="BM34" s="19">
        <f t="shared" si="23"/>
        <v>3766558784.5</v>
      </c>
      <c r="BN34" s="19">
        <f t="shared" si="24"/>
        <v>52244593458.933334</v>
      </c>
      <c r="BO34" s="19">
        <f t="shared" si="25"/>
        <v>1020275282</v>
      </c>
      <c r="BP34" s="81">
        <f t="shared" si="26"/>
        <v>274890869</v>
      </c>
      <c r="BQ34" s="17">
        <v>1076432590</v>
      </c>
      <c r="BR34" s="17"/>
      <c r="BS34" s="17">
        <v>6301959572</v>
      </c>
      <c r="BT34" s="17"/>
      <c r="BU34" s="17">
        <v>147567843</v>
      </c>
      <c r="BV34" s="19">
        <f t="shared" si="27"/>
        <v>10764325899.933334</v>
      </c>
      <c r="BW34" s="19">
        <f t="shared" si="28"/>
        <v>3766558784.5</v>
      </c>
      <c r="BX34" s="19">
        <f t="shared" si="29"/>
        <v>58546553030.933334</v>
      </c>
      <c r="BY34" s="19">
        <f t="shared" si="30"/>
        <v>1020275282</v>
      </c>
      <c r="BZ34" s="19">
        <f t="shared" si="30"/>
        <v>422458712</v>
      </c>
      <c r="CA34" s="17">
        <f>VLOOKUP(A34,Hoja3!$B$54:$C$59,2,0)</f>
        <v>1076432590</v>
      </c>
      <c r="CB34" s="17">
        <f>VLOOKUP(A34,Hoja3!$B$3:$F$34,5,0)</f>
        <v>479596040</v>
      </c>
      <c r="CC34" s="17">
        <f>VLOOKUP(A34,Hoja3!$B$3:$E$35,4,0)</f>
        <v>4994354320</v>
      </c>
      <c r="CD34" s="17"/>
      <c r="CE34" s="17"/>
      <c r="CF34" s="19">
        <f t="shared" si="31"/>
        <v>11840758489.933334</v>
      </c>
      <c r="CG34" s="19">
        <f t="shared" si="32"/>
        <v>4246154824.5</v>
      </c>
      <c r="CH34" s="19">
        <f t="shared" si="33"/>
        <v>63540907350.933334</v>
      </c>
      <c r="CI34" s="19">
        <f t="shared" si="34"/>
        <v>1020275282</v>
      </c>
      <c r="CJ34" s="19">
        <f t="shared" si="35"/>
        <v>422458712</v>
      </c>
    </row>
    <row r="35" spans="1:88" ht="12.75">
      <c r="A35" s="14">
        <v>8915007591</v>
      </c>
      <c r="B35" s="14">
        <v>891500759</v>
      </c>
      <c r="C35" s="14">
        <v>822719000</v>
      </c>
      <c r="D35" s="15" t="s">
        <v>54</v>
      </c>
      <c r="E35" s="16" t="s">
        <v>55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64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>
        <v>0</v>
      </c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  <c r="AY35" s="17">
        <v>0</v>
      </c>
      <c r="AZ35" s="17"/>
      <c r="BA35" s="17">
        <v>262777234</v>
      </c>
      <c r="BB35" s="17"/>
      <c r="BC35" s="19">
        <f t="shared" si="18"/>
        <v>0</v>
      </c>
      <c r="BD35" s="19">
        <f t="shared" si="19"/>
        <v>0</v>
      </c>
      <c r="BE35" s="19">
        <f t="shared" si="20"/>
        <v>1839440638</v>
      </c>
      <c r="BF35" s="19">
        <f t="shared" si="21"/>
        <v>5255545</v>
      </c>
      <c r="BG35" s="17">
        <v>0</v>
      </c>
      <c r="BH35" s="17"/>
      <c r="BI35" s="17">
        <v>262777234</v>
      </c>
      <c r="BJ35" s="17"/>
      <c r="BK35" s="17">
        <v>36788815</v>
      </c>
      <c r="BL35" s="19">
        <f t="shared" si="22"/>
        <v>0</v>
      </c>
      <c r="BM35" s="19">
        <f t="shared" si="23"/>
        <v>0</v>
      </c>
      <c r="BN35" s="19">
        <f t="shared" si="24"/>
        <v>2102217872</v>
      </c>
      <c r="BO35" s="19">
        <f t="shared" si="25"/>
        <v>5255545</v>
      </c>
      <c r="BP35" s="81">
        <f t="shared" si="26"/>
        <v>36788815</v>
      </c>
      <c r="BQ35" s="17">
        <v>0</v>
      </c>
      <c r="BR35" s="17"/>
      <c r="BS35" s="17">
        <v>262777234</v>
      </c>
      <c r="BT35" s="17"/>
      <c r="BU35" s="17">
        <v>5255545</v>
      </c>
      <c r="BV35" s="19">
        <f t="shared" si="27"/>
        <v>0</v>
      </c>
      <c r="BW35" s="19">
        <f t="shared" si="28"/>
        <v>0</v>
      </c>
      <c r="BX35" s="19">
        <f t="shared" si="29"/>
        <v>2364995106</v>
      </c>
      <c r="BY35" s="19">
        <f t="shared" si="30"/>
        <v>5255545</v>
      </c>
      <c r="BZ35" s="19">
        <f t="shared" si="30"/>
        <v>42044360</v>
      </c>
      <c r="CA35" s="17">
        <v>0</v>
      </c>
      <c r="CB35" s="17">
        <v>0</v>
      </c>
      <c r="CC35" s="17">
        <f>VLOOKUP(A35,Hoja3!$B$37:$C$50,2,0)</f>
        <v>262777234</v>
      </c>
      <c r="CD35" s="17"/>
      <c r="CE35" s="17"/>
      <c r="CF35" s="19">
        <f t="shared" si="31"/>
        <v>0</v>
      </c>
      <c r="CG35" s="19">
        <f t="shared" si="32"/>
        <v>0</v>
      </c>
      <c r="CH35" s="19">
        <f t="shared" si="33"/>
        <v>2627772340</v>
      </c>
      <c r="CI35" s="19">
        <f t="shared" si="34"/>
        <v>5255545</v>
      </c>
      <c r="CJ35" s="19">
        <f t="shared" si="35"/>
        <v>42044360</v>
      </c>
    </row>
    <row r="36" spans="1:88" ht="12.75">
      <c r="A36" s="14">
        <v>8916800894</v>
      </c>
      <c r="B36" s="14">
        <v>891680089</v>
      </c>
      <c r="C36" s="14">
        <v>28327000</v>
      </c>
      <c r="D36" s="15" t="s">
        <v>198</v>
      </c>
      <c r="E36" s="16" t="s">
        <v>57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64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v>2067295320</v>
      </c>
      <c r="AR36" s="18">
        <v>591534102</v>
      </c>
      <c r="AS36" s="18">
        <v>62932006</v>
      </c>
      <c r="AT36" s="18">
        <v>350043519</v>
      </c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400057788</v>
      </c>
      <c r="AY36" s="17">
        <v>95786696</v>
      </c>
      <c r="AZ36" s="17"/>
      <c r="BA36" s="17">
        <v>2193758049</v>
      </c>
      <c r="BB36" s="17"/>
      <c r="BC36" s="19">
        <f t="shared" si="18"/>
        <v>766293568</v>
      </c>
      <c r="BD36" s="19">
        <f t="shared" si="19"/>
        <v>1012147990</v>
      </c>
      <c r="BE36" s="19">
        <f t="shared" si="20"/>
        <v>22783745621.86667</v>
      </c>
      <c r="BF36" s="19">
        <f t="shared" si="21"/>
        <v>400057788</v>
      </c>
      <c r="BG36" s="17">
        <v>95786696</v>
      </c>
      <c r="BH36" s="17"/>
      <c r="BI36" s="17">
        <v>2193758049</v>
      </c>
      <c r="BJ36" s="17"/>
      <c r="BK36" s="17">
        <v>132927696</v>
      </c>
      <c r="BL36" s="19">
        <f t="shared" si="22"/>
        <v>862080264</v>
      </c>
      <c r="BM36" s="19">
        <f t="shared" si="23"/>
        <v>1012147990</v>
      </c>
      <c r="BN36" s="19">
        <f t="shared" si="24"/>
        <v>24977503670.86667</v>
      </c>
      <c r="BO36" s="19">
        <f t="shared" si="25"/>
        <v>400057788</v>
      </c>
      <c r="BP36" s="81">
        <f t="shared" si="26"/>
        <v>132927696</v>
      </c>
      <c r="BQ36" s="17">
        <v>95786696</v>
      </c>
      <c r="BR36" s="17"/>
      <c r="BS36" s="17">
        <v>2706519614</v>
      </c>
      <c r="BT36" s="17"/>
      <c r="BU36" s="17">
        <v>56046126</v>
      </c>
      <c r="BV36" s="19">
        <f t="shared" si="27"/>
        <v>957866960</v>
      </c>
      <c r="BW36" s="19">
        <f t="shared" si="28"/>
        <v>1012147990</v>
      </c>
      <c r="BX36" s="19">
        <f t="shared" si="29"/>
        <v>27684023284.86667</v>
      </c>
      <c r="BY36" s="19">
        <f t="shared" si="30"/>
        <v>400057788</v>
      </c>
      <c r="BZ36" s="19">
        <f t="shared" si="30"/>
        <v>188973822</v>
      </c>
      <c r="CA36" s="17">
        <f>VLOOKUP(A36,Hoja3!$B$54:$C$59,2,0)</f>
        <v>95786696</v>
      </c>
      <c r="CB36" s="17">
        <f>VLOOKUP(A36,Hoja3!$B$3:$F$34,5,0)</f>
        <v>208629332</v>
      </c>
      <c r="CC36" s="17">
        <f>VLOOKUP(A36,Hoja3!$B$3:$E$35,4,0)</f>
        <v>2193758049</v>
      </c>
      <c r="CD36" s="17"/>
      <c r="CE36" s="17"/>
      <c r="CF36" s="19">
        <f t="shared" si="31"/>
        <v>1053653656</v>
      </c>
      <c r="CG36" s="19">
        <f t="shared" si="32"/>
        <v>1220777322</v>
      </c>
      <c r="CH36" s="19">
        <f t="shared" si="33"/>
        <v>29877781333.86667</v>
      </c>
      <c r="CI36" s="19">
        <f t="shared" si="34"/>
        <v>400057788</v>
      </c>
      <c r="CJ36" s="19">
        <f t="shared" si="35"/>
        <v>188973822</v>
      </c>
    </row>
    <row r="37" spans="1:88" ht="12.75">
      <c r="A37" s="14">
        <v>8917019320</v>
      </c>
      <c r="B37" s="14">
        <v>891701932</v>
      </c>
      <c r="C37" s="14">
        <v>823847000</v>
      </c>
      <c r="D37" s="83" t="s">
        <v>199</v>
      </c>
      <c r="E37" s="16" t="s">
        <v>59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64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75">
        <v>0</v>
      </c>
      <c r="AT37" s="18">
        <v>0</v>
      </c>
      <c r="AU37" s="19">
        <f t="shared" si="14"/>
        <v>0</v>
      </c>
      <c r="AV37" s="19">
        <f t="shared" si="15"/>
        <v>0</v>
      </c>
      <c r="AW37" s="19">
        <f t="shared" si="16"/>
        <v>955659426</v>
      </c>
      <c r="AX37" s="19">
        <f t="shared" si="17"/>
        <v>3185531</v>
      </c>
      <c r="AY37" s="17">
        <v>0</v>
      </c>
      <c r="AZ37" s="17"/>
      <c r="BA37" s="17">
        <v>159276571</v>
      </c>
      <c r="BB37" s="17"/>
      <c r="BC37" s="19">
        <f aca="true" t="shared" si="36" ref="BC37:BC54">+AU37+AY37</f>
        <v>0</v>
      </c>
      <c r="BD37" s="19">
        <f aca="true" t="shared" si="37" ref="BD37:BD54">+AV37+AZ37</f>
        <v>0</v>
      </c>
      <c r="BE37" s="19">
        <f t="shared" si="20"/>
        <v>1114935997</v>
      </c>
      <c r="BF37" s="19">
        <f aca="true" t="shared" si="38" ref="BF37:BF54">+AX37+BB37</f>
        <v>3185531</v>
      </c>
      <c r="BG37" s="17">
        <v>0</v>
      </c>
      <c r="BH37" s="17"/>
      <c r="BI37" s="17">
        <v>159276571</v>
      </c>
      <c r="BJ37" s="17"/>
      <c r="BK37" s="17">
        <v>22298717</v>
      </c>
      <c r="BL37" s="19">
        <f t="shared" si="22"/>
        <v>0</v>
      </c>
      <c r="BM37" s="19">
        <f t="shared" si="23"/>
        <v>0</v>
      </c>
      <c r="BN37" s="19">
        <f t="shared" si="24"/>
        <v>1274212568</v>
      </c>
      <c r="BO37" s="19">
        <f t="shared" si="25"/>
        <v>3185531</v>
      </c>
      <c r="BP37" s="81">
        <f t="shared" si="26"/>
        <v>22298717</v>
      </c>
      <c r="BQ37" s="17">
        <v>0</v>
      </c>
      <c r="BR37" s="17"/>
      <c r="BS37" s="17">
        <v>159276571</v>
      </c>
      <c r="BT37" s="17"/>
      <c r="BU37" s="17">
        <v>3185531</v>
      </c>
      <c r="BV37" s="19">
        <f t="shared" si="27"/>
        <v>0</v>
      </c>
      <c r="BW37" s="19">
        <f t="shared" si="28"/>
        <v>0</v>
      </c>
      <c r="BX37" s="19">
        <f t="shared" si="29"/>
        <v>1433489139</v>
      </c>
      <c r="BY37" s="19">
        <f t="shared" si="30"/>
        <v>3185531</v>
      </c>
      <c r="BZ37" s="19">
        <f t="shared" si="30"/>
        <v>25484248</v>
      </c>
      <c r="CA37" s="17">
        <v>0</v>
      </c>
      <c r="CB37" s="17">
        <v>0</v>
      </c>
      <c r="CC37" s="17">
        <f>VLOOKUP(A37,Hoja3!$B$37:$C$50,2,0)</f>
        <v>159276571</v>
      </c>
      <c r="CD37" s="17"/>
      <c r="CE37" s="17"/>
      <c r="CF37" s="19">
        <f t="shared" si="31"/>
        <v>0</v>
      </c>
      <c r="CG37" s="19">
        <f t="shared" si="32"/>
        <v>0</v>
      </c>
      <c r="CH37" s="19">
        <f t="shared" si="33"/>
        <v>1592765710</v>
      </c>
      <c r="CI37" s="19">
        <f t="shared" si="34"/>
        <v>3185531</v>
      </c>
      <c r="CJ37" s="19">
        <f t="shared" si="35"/>
        <v>25484248</v>
      </c>
    </row>
    <row r="38" spans="1:88" ht="12.75">
      <c r="A38" s="14">
        <v>8917801118</v>
      </c>
      <c r="B38" s="14">
        <v>891780111</v>
      </c>
      <c r="C38" s="14">
        <v>121647000</v>
      </c>
      <c r="D38" s="15" t="s">
        <v>200</v>
      </c>
      <c r="E38" s="16" t="s">
        <v>61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64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v>2192356295</v>
      </c>
      <c r="AR38" s="18">
        <v>670578205</v>
      </c>
      <c r="AS38" s="18"/>
      <c r="AT38" s="18">
        <v>360436723</v>
      </c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408970662</v>
      </c>
      <c r="AY38" s="17">
        <v>0</v>
      </c>
      <c r="AZ38" s="17"/>
      <c r="BA38" s="17">
        <v>2426696944</v>
      </c>
      <c r="BB38" s="17"/>
      <c r="BC38" s="19">
        <f t="shared" si="36"/>
        <v>0</v>
      </c>
      <c r="BD38" s="19">
        <f t="shared" si="37"/>
        <v>364004541.5</v>
      </c>
      <c r="BE38" s="19">
        <f t="shared" si="20"/>
        <v>25067586288</v>
      </c>
      <c r="BF38" s="19">
        <f t="shared" si="38"/>
        <v>408970662</v>
      </c>
      <c r="BG38" s="17">
        <v>0</v>
      </c>
      <c r="BH38" s="17"/>
      <c r="BI38" s="17">
        <v>2426696944</v>
      </c>
      <c r="BJ38" s="17"/>
      <c r="BK38" s="17">
        <v>140915004</v>
      </c>
      <c r="BL38" s="19">
        <f t="shared" si="22"/>
        <v>0</v>
      </c>
      <c r="BM38" s="19">
        <f t="shared" si="23"/>
        <v>364004541.5</v>
      </c>
      <c r="BN38" s="19">
        <f t="shared" si="24"/>
        <v>27494283232</v>
      </c>
      <c r="BO38" s="19">
        <f t="shared" si="25"/>
        <v>408970662</v>
      </c>
      <c r="BP38" s="81">
        <f t="shared" si="26"/>
        <v>140915004</v>
      </c>
      <c r="BQ38" s="17">
        <v>0</v>
      </c>
      <c r="BR38" s="17"/>
      <c r="BS38" s="17">
        <v>2976509118</v>
      </c>
      <c r="BT38" s="17"/>
      <c r="BU38" s="17">
        <v>59530182</v>
      </c>
      <c r="BV38" s="19">
        <f t="shared" si="27"/>
        <v>0</v>
      </c>
      <c r="BW38" s="19">
        <f t="shared" si="28"/>
        <v>364004541.5</v>
      </c>
      <c r="BX38" s="19">
        <f t="shared" si="29"/>
        <v>30470792350</v>
      </c>
      <c r="BY38" s="19">
        <f t="shared" si="30"/>
        <v>408970662</v>
      </c>
      <c r="BZ38" s="19">
        <f t="shared" si="30"/>
        <v>200445186</v>
      </c>
      <c r="CA38" s="17">
        <v>0</v>
      </c>
      <c r="CB38" s="17">
        <f>VLOOKUP(A38,Hoja3!$B$3:$F$34,5,0)</f>
        <v>185572544</v>
      </c>
      <c r="CC38" s="17">
        <f>VLOOKUP(A38,Hoja3!$B$3:$E$35,4,0)</f>
        <v>2426696944</v>
      </c>
      <c r="CD38" s="17"/>
      <c r="CE38" s="17"/>
      <c r="CF38" s="19">
        <f t="shared" si="31"/>
        <v>0</v>
      </c>
      <c r="CG38" s="19">
        <f t="shared" si="32"/>
        <v>549577085.5</v>
      </c>
      <c r="CH38" s="19">
        <f t="shared" si="33"/>
        <v>32897489294</v>
      </c>
      <c r="CI38" s="19">
        <f t="shared" si="34"/>
        <v>408970662</v>
      </c>
      <c r="CJ38" s="19">
        <f t="shared" si="35"/>
        <v>200445186</v>
      </c>
    </row>
    <row r="39" spans="1:88" ht="12.75">
      <c r="A39" s="14">
        <v>8918002604</v>
      </c>
      <c r="B39" s="14">
        <v>891800260</v>
      </c>
      <c r="C39" s="14">
        <v>20615000</v>
      </c>
      <c r="D39" s="15" t="s">
        <v>62</v>
      </c>
      <c r="E39" s="16" t="s">
        <v>63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64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>
        <v>0</v>
      </c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  <c r="AY39" s="17">
        <v>0</v>
      </c>
      <c r="AZ39" s="17"/>
      <c r="BA39" s="17">
        <v>393245961</v>
      </c>
      <c r="BB39" s="17"/>
      <c r="BC39" s="19">
        <f t="shared" si="36"/>
        <v>0</v>
      </c>
      <c r="BD39" s="19">
        <f t="shared" si="37"/>
        <v>0</v>
      </c>
      <c r="BE39" s="19">
        <f t="shared" si="20"/>
        <v>2752721727</v>
      </c>
      <c r="BF39" s="19">
        <f t="shared" si="38"/>
        <v>0</v>
      </c>
      <c r="BG39" s="17">
        <v>0</v>
      </c>
      <c r="BH39" s="17"/>
      <c r="BI39" s="17">
        <v>393245961</v>
      </c>
      <c r="BJ39" s="17"/>
      <c r="BK39" s="17">
        <v>0</v>
      </c>
      <c r="BL39" s="19">
        <f t="shared" si="22"/>
        <v>0</v>
      </c>
      <c r="BM39" s="19">
        <f t="shared" si="23"/>
        <v>0</v>
      </c>
      <c r="BN39" s="19">
        <f t="shared" si="24"/>
        <v>3145967688</v>
      </c>
      <c r="BO39" s="19">
        <f t="shared" si="25"/>
        <v>0</v>
      </c>
      <c r="BP39" s="81">
        <f t="shared" si="26"/>
        <v>0</v>
      </c>
      <c r="BQ39" s="17">
        <v>0</v>
      </c>
      <c r="BR39" s="17"/>
      <c r="BS39" s="17">
        <v>393245961</v>
      </c>
      <c r="BT39" s="17"/>
      <c r="BU39" s="17">
        <v>0</v>
      </c>
      <c r="BV39" s="19">
        <f t="shared" si="27"/>
        <v>0</v>
      </c>
      <c r="BW39" s="19">
        <f t="shared" si="28"/>
        <v>0</v>
      </c>
      <c r="BX39" s="19">
        <f t="shared" si="29"/>
        <v>3539213649</v>
      </c>
      <c r="BY39" s="19">
        <f t="shared" si="30"/>
        <v>0</v>
      </c>
      <c r="BZ39" s="19">
        <f t="shared" si="30"/>
        <v>0</v>
      </c>
      <c r="CA39" s="17">
        <v>0</v>
      </c>
      <c r="CB39" s="17">
        <v>0</v>
      </c>
      <c r="CC39" s="17">
        <f>VLOOKUP(A39,Hoja3!$B$37:$C$50,2,0)</f>
        <v>393245961</v>
      </c>
      <c r="CD39" s="17"/>
      <c r="CE39" s="17"/>
      <c r="CF39" s="19">
        <f t="shared" si="31"/>
        <v>0</v>
      </c>
      <c r="CG39" s="19">
        <f t="shared" si="32"/>
        <v>0</v>
      </c>
      <c r="CH39" s="19">
        <f t="shared" si="33"/>
        <v>3932459610</v>
      </c>
      <c r="CI39" s="19">
        <f t="shared" si="34"/>
        <v>0</v>
      </c>
      <c r="CJ39" s="19">
        <f t="shared" si="35"/>
        <v>0</v>
      </c>
    </row>
    <row r="40" spans="1:88" ht="12.75">
      <c r="A40" s="14">
        <v>8918003301</v>
      </c>
      <c r="B40" s="14">
        <v>891800330</v>
      </c>
      <c r="C40" s="14">
        <v>27615000</v>
      </c>
      <c r="D40" s="15" t="s">
        <v>201</v>
      </c>
      <c r="E40" s="89" t="s">
        <v>96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64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v>1913727069</v>
      </c>
      <c r="AR40" s="18">
        <v>1697771465</v>
      </c>
      <c r="AS40" s="18"/>
      <c r="AT40" s="18">
        <v>956388197</v>
      </c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1076129538</v>
      </c>
      <c r="AY40" s="17">
        <v>0</v>
      </c>
      <c r="AZ40" s="17"/>
      <c r="BA40" s="17">
        <v>5987067065</v>
      </c>
      <c r="BB40" s="17"/>
      <c r="BC40" s="19">
        <f t="shared" si="36"/>
        <v>0</v>
      </c>
      <c r="BD40" s="19">
        <f t="shared" si="37"/>
        <v>4842616866</v>
      </c>
      <c r="BE40" s="19">
        <f t="shared" si="20"/>
        <v>57803605921.33333</v>
      </c>
      <c r="BF40" s="19">
        <f t="shared" si="38"/>
        <v>1076129538</v>
      </c>
      <c r="BG40" s="17">
        <v>0</v>
      </c>
      <c r="BH40" s="17"/>
      <c r="BI40" s="17">
        <v>5987067065</v>
      </c>
      <c r="BJ40" s="17"/>
      <c r="BK40" s="17">
        <v>277757223</v>
      </c>
      <c r="BL40" s="19">
        <f t="shared" si="22"/>
        <v>0</v>
      </c>
      <c r="BM40" s="19">
        <f t="shared" si="23"/>
        <v>4842616866</v>
      </c>
      <c r="BN40" s="19">
        <f t="shared" si="24"/>
        <v>63790672986.33333</v>
      </c>
      <c r="BO40" s="19">
        <f t="shared" si="25"/>
        <v>1076129538</v>
      </c>
      <c r="BP40" s="81">
        <f t="shared" si="26"/>
        <v>277757223</v>
      </c>
      <c r="BQ40" s="17">
        <v>0</v>
      </c>
      <c r="BR40" s="17"/>
      <c r="BS40" s="17">
        <v>7276625390</v>
      </c>
      <c r="BT40" s="17"/>
      <c r="BU40" s="17">
        <v>145532508</v>
      </c>
      <c r="BV40" s="19">
        <f t="shared" si="27"/>
        <v>0</v>
      </c>
      <c r="BW40" s="19">
        <f t="shared" si="28"/>
        <v>4842616866</v>
      </c>
      <c r="BX40" s="19">
        <f t="shared" si="29"/>
        <v>71067298376.33333</v>
      </c>
      <c r="BY40" s="19">
        <f t="shared" si="30"/>
        <v>1076129538</v>
      </c>
      <c r="BZ40" s="19">
        <f t="shared" si="30"/>
        <v>423289731</v>
      </c>
      <c r="CA40" s="17">
        <v>0</v>
      </c>
      <c r="CB40" s="17">
        <f>VLOOKUP(A40,Hoja3!$B$3:$F$34,5,0)</f>
        <v>478685406</v>
      </c>
      <c r="CC40" s="17">
        <f>VLOOKUP(A40,Hoja3!$B$3:$E$35,4,0)</f>
        <v>5987067065</v>
      </c>
      <c r="CD40" s="17"/>
      <c r="CE40" s="17"/>
      <c r="CF40" s="19">
        <f t="shared" si="31"/>
        <v>0</v>
      </c>
      <c r="CG40" s="19">
        <f t="shared" si="32"/>
        <v>5321302272</v>
      </c>
      <c r="CH40" s="19">
        <f t="shared" si="33"/>
        <v>77054365441.33333</v>
      </c>
      <c r="CI40" s="19">
        <f t="shared" si="34"/>
        <v>1076129538</v>
      </c>
      <c r="CJ40" s="19">
        <f t="shared" si="35"/>
        <v>423289731</v>
      </c>
    </row>
    <row r="41" spans="1:88" ht="12.75">
      <c r="A41" s="14">
        <v>8919008530</v>
      </c>
      <c r="B41" s="14">
        <v>891900853</v>
      </c>
      <c r="C41" s="14">
        <v>124876000</v>
      </c>
      <c r="D41" s="15" t="s">
        <v>65</v>
      </c>
      <c r="E41" s="16" t="s">
        <v>206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64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v>0</v>
      </c>
      <c r="AS41" s="18"/>
      <c r="AT41" s="18">
        <v>16628635</v>
      </c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19004154</v>
      </c>
      <c r="AY41" s="17">
        <v>0</v>
      </c>
      <c r="AZ41" s="17"/>
      <c r="BA41" s="17">
        <v>118775968</v>
      </c>
      <c r="BB41" s="17"/>
      <c r="BC41" s="19">
        <f t="shared" si="36"/>
        <v>0</v>
      </c>
      <c r="BD41" s="19">
        <f t="shared" si="37"/>
        <v>0</v>
      </c>
      <c r="BE41" s="19">
        <f t="shared" si="20"/>
        <v>1068983711.2666667</v>
      </c>
      <c r="BF41" s="19">
        <f t="shared" si="38"/>
        <v>19004154</v>
      </c>
      <c r="BG41" s="17">
        <v>0</v>
      </c>
      <c r="BH41" s="17"/>
      <c r="BI41" s="17">
        <v>118775968</v>
      </c>
      <c r="BJ41" s="17"/>
      <c r="BK41" s="17">
        <v>4751038</v>
      </c>
      <c r="BL41" s="19">
        <f t="shared" si="22"/>
        <v>0</v>
      </c>
      <c r="BM41" s="19">
        <f t="shared" si="23"/>
        <v>0</v>
      </c>
      <c r="BN41" s="19">
        <f t="shared" si="24"/>
        <v>1187759679.2666667</v>
      </c>
      <c r="BO41" s="19">
        <f t="shared" si="25"/>
        <v>19004154</v>
      </c>
      <c r="BP41" s="81">
        <f t="shared" si="26"/>
        <v>4751038</v>
      </c>
      <c r="BQ41" s="17">
        <v>0</v>
      </c>
      <c r="BR41" s="17"/>
      <c r="BS41" s="17">
        <v>143584275</v>
      </c>
      <c r="BT41" s="17"/>
      <c r="BU41" s="17">
        <v>2871685</v>
      </c>
      <c r="BV41" s="19">
        <f t="shared" si="27"/>
        <v>0</v>
      </c>
      <c r="BW41" s="19">
        <f t="shared" si="28"/>
        <v>0</v>
      </c>
      <c r="BX41" s="19">
        <f t="shared" si="29"/>
        <v>1331343954.2666667</v>
      </c>
      <c r="BY41" s="19">
        <f t="shared" si="30"/>
        <v>19004154</v>
      </c>
      <c r="BZ41" s="19">
        <f t="shared" si="30"/>
        <v>7622723</v>
      </c>
      <c r="CA41" s="17">
        <v>0</v>
      </c>
      <c r="CB41" s="17">
        <f>VLOOKUP(A41,Hoja3!$B$3:$F$34,5,0)</f>
        <v>0</v>
      </c>
      <c r="CC41" s="17">
        <f>VLOOKUP(A41,Hoja3!$B$3:$E$35,4,0)</f>
        <v>118775968</v>
      </c>
      <c r="CD41" s="17"/>
      <c r="CE41" s="17"/>
      <c r="CF41" s="19">
        <f t="shared" si="31"/>
        <v>0</v>
      </c>
      <c r="CG41" s="19">
        <f t="shared" si="32"/>
        <v>0</v>
      </c>
      <c r="CH41" s="19">
        <f t="shared" si="33"/>
        <v>1450119922.2666667</v>
      </c>
      <c r="CI41" s="19">
        <f t="shared" si="34"/>
        <v>19004154</v>
      </c>
      <c r="CJ41" s="19">
        <f t="shared" si="35"/>
        <v>7622723</v>
      </c>
    </row>
    <row r="42" spans="1:88" ht="12.75">
      <c r="A42" s="14">
        <v>8920007573</v>
      </c>
      <c r="B42" s="14">
        <v>892000757</v>
      </c>
      <c r="C42" s="14">
        <v>28450000</v>
      </c>
      <c r="D42" s="15" t="s">
        <v>66</v>
      </c>
      <c r="E42" s="16" t="s">
        <v>67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64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v>893325481</v>
      </c>
      <c r="AR42" s="18">
        <v>157264723</v>
      </c>
      <c r="AS42" s="18"/>
      <c r="AT42" s="18">
        <v>231651133</v>
      </c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264751619</v>
      </c>
      <c r="AY42" s="17">
        <v>0</v>
      </c>
      <c r="AZ42" s="17"/>
      <c r="BA42" s="17">
        <v>1428516765</v>
      </c>
      <c r="BB42" s="17"/>
      <c r="BC42" s="19">
        <f t="shared" si="36"/>
        <v>0</v>
      </c>
      <c r="BD42" s="19">
        <f t="shared" si="37"/>
        <v>1309983677</v>
      </c>
      <c r="BE42" s="19">
        <f t="shared" si="20"/>
        <v>14248513488.666668</v>
      </c>
      <c r="BF42" s="19">
        <f t="shared" si="38"/>
        <v>264751619</v>
      </c>
      <c r="BG42" s="17">
        <v>0</v>
      </c>
      <c r="BH42" s="17"/>
      <c r="BI42" s="17">
        <v>1428516765</v>
      </c>
      <c r="BJ42" s="17"/>
      <c r="BK42" s="17">
        <v>75007181</v>
      </c>
      <c r="BL42" s="19">
        <f t="shared" si="22"/>
        <v>0</v>
      </c>
      <c r="BM42" s="19">
        <f t="shared" si="23"/>
        <v>1309983677</v>
      </c>
      <c r="BN42" s="19">
        <f t="shared" si="24"/>
        <v>15677030253.666668</v>
      </c>
      <c r="BO42" s="19">
        <f t="shared" si="25"/>
        <v>264751619</v>
      </c>
      <c r="BP42" s="81">
        <f t="shared" si="26"/>
        <v>75007181</v>
      </c>
      <c r="BQ42" s="17">
        <v>0</v>
      </c>
      <c r="BR42" s="17"/>
      <c r="BS42" s="17">
        <v>1780354222</v>
      </c>
      <c r="BT42" s="17"/>
      <c r="BU42" s="17">
        <v>35607084</v>
      </c>
      <c r="BV42" s="19">
        <f t="shared" si="27"/>
        <v>0</v>
      </c>
      <c r="BW42" s="19">
        <f t="shared" si="28"/>
        <v>1309983677</v>
      </c>
      <c r="BX42" s="19">
        <f t="shared" si="29"/>
        <v>17457384475.666668</v>
      </c>
      <c r="BY42" s="19">
        <f t="shared" si="30"/>
        <v>264751619</v>
      </c>
      <c r="BZ42" s="19">
        <f t="shared" si="30"/>
        <v>110614265</v>
      </c>
      <c r="CA42" s="17">
        <v>0</v>
      </c>
      <c r="CB42" s="17">
        <f>VLOOKUP(A42,Hoja3!$B$3:$F$34,5,0)</f>
        <v>115003312</v>
      </c>
      <c r="CC42" s="17">
        <f>VLOOKUP(A42,Hoja3!$B$3:$E$35,4,0)</f>
        <v>1428516765</v>
      </c>
      <c r="CD42" s="17"/>
      <c r="CE42" s="17"/>
      <c r="CF42" s="19">
        <f t="shared" si="31"/>
        <v>0</v>
      </c>
      <c r="CG42" s="19">
        <f t="shared" si="32"/>
        <v>1424986989</v>
      </c>
      <c r="CH42" s="19">
        <f t="shared" si="33"/>
        <v>18885901240.666668</v>
      </c>
      <c r="CI42" s="19">
        <f t="shared" si="34"/>
        <v>264751619</v>
      </c>
      <c r="CJ42" s="19">
        <f t="shared" si="35"/>
        <v>110614265</v>
      </c>
    </row>
    <row r="43" spans="1:88" ht="12.75">
      <c r="A43" s="14">
        <v>8921150294</v>
      </c>
      <c r="B43" s="14">
        <v>892115029</v>
      </c>
      <c r="C43" s="14">
        <v>129444000</v>
      </c>
      <c r="D43" s="15" t="s">
        <v>68</v>
      </c>
      <c r="E43" s="16" t="s">
        <v>69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64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v>1746675153</v>
      </c>
      <c r="AR43" s="18">
        <v>0</v>
      </c>
      <c r="AS43" s="18"/>
      <c r="AT43" s="18">
        <v>153205727</v>
      </c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177727474</v>
      </c>
      <c r="AY43" s="17">
        <v>0</v>
      </c>
      <c r="AZ43" s="17"/>
      <c r="BA43" s="17">
        <v>1058188234</v>
      </c>
      <c r="BB43" s="17"/>
      <c r="BC43" s="19">
        <f t="shared" si="36"/>
        <v>0</v>
      </c>
      <c r="BD43" s="19">
        <f t="shared" si="37"/>
        <v>158728235</v>
      </c>
      <c r="BE43" s="19">
        <f t="shared" si="20"/>
        <v>11523337955.866667</v>
      </c>
      <c r="BF43" s="19">
        <f t="shared" si="38"/>
        <v>177727474</v>
      </c>
      <c r="BG43" s="17">
        <v>0</v>
      </c>
      <c r="BH43" s="17"/>
      <c r="BI43" s="17">
        <v>1058188234</v>
      </c>
      <c r="BJ43" s="17"/>
      <c r="BK43" s="17">
        <v>77261034</v>
      </c>
      <c r="BL43" s="19">
        <f t="shared" si="22"/>
        <v>0</v>
      </c>
      <c r="BM43" s="19">
        <f t="shared" si="23"/>
        <v>158728235</v>
      </c>
      <c r="BN43" s="19">
        <f t="shared" si="24"/>
        <v>12581526189.866667</v>
      </c>
      <c r="BO43" s="19">
        <f t="shared" si="25"/>
        <v>177727474</v>
      </c>
      <c r="BP43" s="81">
        <f t="shared" si="26"/>
        <v>77261034</v>
      </c>
      <c r="BQ43" s="17">
        <v>0</v>
      </c>
      <c r="BR43" s="17"/>
      <c r="BS43" s="17">
        <v>1327450038</v>
      </c>
      <c r="BT43" s="17"/>
      <c r="BU43" s="17">
        <v>26549001</v>
      </c>
      <c r="BV43" s="19">
        <f t="shared" si="27"/>
        <v>0</v>
      </c>
      <c r="BW43" s="19">
        <f t="shared" si="28"/>
        <v>158728235</v>
      </c>
      <c r="BX43" s="19">
        <f t="shared" si="29"/>
        <v>13908976227.866667</v>
      </c>
      <c r="BY43" s="19">
        <f t="shared" si="30"/>
        <v>177727474</v>
      </c>
      <c r="BZ43" s="19">
        <f t="shared" si="30"/>
        <v>103810035</v>
      </c>
      <c r="CA43" s="17">
        <v>0</v>
      </c>
      <c r="CB43" s="17">
        <f>VLOOKUP(A43,Hoja3!$B$3:$F$34,5,0)</f>
        <v>80920975</v>
      </c>
      <c r="CC43" s="17">
        <f>VLOOKUP(A43,Hoja3!$B$3:$E$35,4,0)</f>
        <v>1058188234</v>
      </c>
      <c r="CD43" s="17"/>
      <c r="CE43" s="17"/>
      <c r="CF43" s="19">
        <f t="shared" si="31"/>
        <v>0</v>
      </c>
      <c r="CG43" s="19">
        <f t="shared" si="32"/>
        <v>239649210</v>
      </c>
      <c r="CH43" s="19">
        <f t="shared" si="33"/>
        <v>14967164461.866667</v>
      </c>
      <c r="CI43" s="19">
        <f t="shared" si="34"/>
        <v>177727474</v>
      </c>
      <c r="CJ43" s="19">
        <f t="shared" si="35"/>
        <v>103810035</v>
      </c>
    </row>
    <row r="44" spans="1:88" ht="12.75">
      <c r="A44" s="14">
        <v>8922003239</v>
      </c>
      <c r="B44" s="14">
        <v>892200323</v>
      </c>
      <c r="C44" s="14">
        <v>128870000</v>
      </c>
      <c r="D44" s="15" t="s">
        <v>70</v>
      </c>
      <c r="E44" s="16" t="s">
        <v>71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64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v>1835053666</v>
      </c>
      <c r="AR44" s="18">
        <v>145099269</v>
      </c>
      <c r="AS44" s="18"/>
      <c r="AT44" s="18">
        <v>147365957</v>
      </c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171027227</v>
      </c>
      <c r="AY44" s="17">
        <v>0</v>
      </c>
      <c r="AZ44" s="17"/>
      <c r="BA44" s="17">
        <v>990421502</v>
      </c>
      <c r="BB44" s="17"/>
      <c r="BC44" s="19">
        <f t="shared" si="36"/>
        <v>0</v>
      </c>
      <c r="BD44" s="19">
        <f t="shared" si="37"/>
        <v>148563225.5</v>
      </c>
      <c r="BE44" s="19">
        <f t="shared" si="20"/>
        <v>11184194551.666666</v>
      </c>
      <c r="BF44" s="19">
        <f t="shared" si="38"/>
        <v>171027227</v>
      </c>
      <c r="BG44" s="17">
        <v>0</v>
      </c>
      <c r="BH44" s="17"/>
      <c r="BI44" s="17">
        <v>990421502</v>
      </c>
      <c r="BJ44" s="17"/>
      <c r="BK44" s="17">
        <v>76317934</v>
      </c>
      <c r="BL44" s="19">
        <f t="shared" si="22"/>
        <v>0</v>
      </c>
      <c r="BM44" s="19">
        <f t="shared" si="23"/>
        <v>148563225.5</v>
      </c>
      <c r="BN44" s="19">
        <f t="shared" si="24"/>
        <v>12174616053.666666</v>
      </c>
      <c r="BO44" s="19">
        <f t="shared" si="25"/>
        <v>171027227</v>
      </c>
      <c r="BP44" s="81">
        <f t="shared" si="26"/>
        <v>76317934</v>
      </c>
      <c r="BQ44" s="17">
        <v>0</v>
      </c>
      <c r="BR44" s="17"/>
      <c r="BS44" s="17">
        <v>1229744420</v>
      </c>
      <c r="BT44" s="17"/>
      <c r="BU44" s="17">
        <v>24594889</v>
      </c>
      <c r="BV44" s="19">
        <f t="shared" si="27"/>
        <v>0</v>
      </c>
      <c r="BW44" s="19">
        <f t="shared" si="28"/>
        <v>148563225.5</v>
      </c>
      <c r="BX44" s="19">
        <f t="shared" si="29"/>
        <v>13404360473.666666</v>
      </c>
      <c r="BY44" s="19">
        <f t="shared" si="30"/>
        <v>171027227</v>
      </c>
      <c r="BZ44" s="19">
        <f t="shared" si="30"/>
        <v>100912823</v>
      </c>
      <c r="CA44" s="17">
        <v>0</v>
      </c>
      <c r="CB44" s="17">
        <f>VLOOKUP(A44,Hoja3!$B$3:$F$34,5,0)</f>
        <v>75738768</v>
      </c>
      <c r="CC44" s="17">
        <f>VLOOKUP(A44,Hoja3!$B$3:$E$35,4,0)</f>
        <v>990421502</v>
      </c>
      <c r="CD44" s="17"/>
      <c r="CE44" s="17"/>
      <c r="CF44" s="19">
        <f t="shared" si="31"/>
        <v>0</v>
      </c>
      <c r="CG44" s="19">
        <f t="shared" si="32"/>
        <v>224301993.5</v>
      </c>
      <c r="CH44" s="19">
        <f t="shared" si="33"/>
        <v>14394781975.666666</v>
      </c>
      <c r="CI44" s="19">
        <f t="shared" si="34"/>
        <v>171027227</v>
      </c>
      <c r="CJ44" s="19">
        <f t="shared" si="35"/>
        <v>100912823</v>
      </c>
    </row>
    <row r="45" spans="1:88" ht="12.75">
      <c r="A45" s="14">
        <v>8923002856</v>
      </c>
      <c r="B45" s="14">
        <v>892300285</v>
      </c>
      <c r="C45" s="14">
        <v>821920000</v>
      </c>
      <c r="D45" s="15" t="s">
        <v>72</v>
      </c>
      <c r="E45" s="16" t="s">
        <v>171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64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v>1808007602</v>
      </c>
      <c r="AR45" s="18">
        <v>35579581</v>
      </c>
      <c r="AS45" s="18"/>
      <c r="AT45" s="18">
        <v>213663616</v>
      </c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244397290</v>
      </c>
      <c r="AY45" s="17">
        <v>0</v>
      </c>
      <c r="AZ45" s="17"/>
      <c r="BA45" s="17">
        <v>1376653680</v>
      </c>
      <c r="BB45" s="17"/>
      <c r="BC45" s="19">
        <f t="shared" si="36"/>
        <v>0</v>
      </c>
      <c r="BD45" s="19">
        <f t="shared" si="37"/>
        <v>984478165</v>
      </c>
      <c r="BE45" s="19">
        <f t="shared" si="20"/>
        <v>14474582843.466667</v>
      </c>
      <c r="BF45" s="19">
        <f t="shared" si="38"/>
        <v>244397290</v>
      </c>
      <c r="BG45" s="17">
        <v>0</v>
      </c>
      <c r="BH45" s="17"/>
      <c r="BI45" s="17">
        <v>1376653680</v>
      </c>
      <c r="BJ45" s="17"/>
      <c r="BK45" s="17">
        <v>91226301</v>
      </c>
      <c r="BL45" s="19">
        <f t="shared" si="22"/>
        <v>0</v>
      </c>
      <c r="BM45" s="19">
        <f t="shared" si="23"/>
        <v>984478165</v>
      </c>
      <c r="BN45" s="19">
        <f t="shared" si="24"/>
        <v>15851236523.466667</v>
      </c>
      <c r="BO45" s="19">
        <f t="shared" si="25"/>
        <v>244397290</v>
      </c>
      <c r="BP45" s="81">
        <f t="shared" si="26"/>
        <v>91226301</v>
      </c>
      <c r="BQ45" s="17">
        <v>0</v>
      </c>
      <c r="BR45" s="17"/>
      <c r="BS45" s="17">
        <v>1694675676</v>
      </c>
      <c r="BT45" s="17"/>
      <c r="BU45" s="17">
        <v>33893514</v>
      </c>
      <c r="BV45" s="19">
        <f t="shared" si="27"/>
        <v>0</v>
      </c>
      <c r="BW45" s="19">
        <f t="shared" si="28"/>
        <v>984478165</v>
      </c>
      <c r="BX45" s="19">
        <f t="shared" si="29"/>
        <v>17545912199.466667</v>
      </c>
      <c r="BY45" s="19">
        <f t="shared" si="30"/>
        <v>244397290</v>
      </c>
      <c r="BZ45" s="19">
        <f t="shared" si="30"/>
        <v>125119815</v>
      </c>
      <c r="CA45" s="17">
        <v>0</v>
      </c>
      <c r="CB45" s="17">
        <f>VLOOKUP(A45,Hoja3!$B$3:$F$34,5,0)</f>
        <v>109387179</v>
      </c>
      <c r="CC45" s="17">
        <f>VLOOKUP(A45,Hoja3!$B$3:$E$35,4,0)</f>
        <v>1376653680</v>
      </c>
      <c r="CD45" s="17"/>
      <c r="CE45" s="17"/>
      <c r="CF45" s="19">
        <f t="shared" si="31"/>
        <v>0</v>
      </c>
      <c r="CG45" s="19">
        <f t="shared" si="32"/>
        <v>1093865344</v>
      </c>
      <c r="CH45" s="19">
        <f t="shared" si="33"/>
        <v>18922565879.466667</v>
      </c>
      <c r="CI45" s="19">
        <f t="shared" si="34"/>
        <v>244397290</v>
      </c>
      <c r="CJ45" s="19">
        <f t="shared" si="35"/>
        <v>125119815</v>
      </c>
    </row>
    <row r="46" spans="1:88" s="26" customFormat="1" ht="15">
      <c r="A46" s="21">
        <v>8999990633</v>
      </c>
      <c r="B46" s="14">
        <v>899999063</v>
      </c>
      <c r="C46" s="21">
        <v>27400000</v>
      </c>
      <c r="D46" s="24" t="s">
        <v>73</v>
      </c>
      <c r="E46" s="25" t="s">
        <v>74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64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v>8693551680</v>
      </c>
      <c r="AR46" s="18">
        <v>5021626863</v>
      </c>
      <c r="AS46" s="18"/>
      <c r="AT46" s="18">
        <v>6569841776</v>
      </c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7414119534</v>
      </c>
      <c r="AY46" s="17">
        <v>10265689102</v>
      </c>
      <c r="AZ46" s="17"/>
      <c r="BA46" s="17">
        <v>31948198810</v>
      </c>
      <c r="BB46" s="17"/>
      <c r="BC46" s="19">
        <f t="shared" si="36"/>
        <v>82125512816</v>
      </c>
      <c r="BD46" s="19">
        <f t="shared" si="37"/>
        <v>44540695158.5</v>
      </c>
      <c r="BE46" s="19">
        <f t="shared" si="20"/>
        <v>301670269714.06665</v>
      </c>
      <c r="BF46" s="19">
        <f t="shared" si="38"/>
        <v>7414119534</v>
      </c>
      <c r="BG46" s="17">
        <v>10265689102</v>
      </c>
      <c r="BH46" s="17"/>
      <c r="BI46" s="17">
        <v>31948198810</v>
      </c>
      <c r="BJ46" s="17"/>
      <c r="BK46" s="17">
        <v>1862426550</v>
      </c>
      <c r="BL46" s="19">
        <f t="shared" si="22"/>
        <v>92391201918</v>
      </c>
      <c r="BM46" s="19">
        <f t="shared" si="23"/>
        <v>44540695158.5</v>
      </c>
      <c r="BN46" s="19">
        <f t="shared" si="24"/>
        <v>333618468524.06665</v>
      </c>
      <c r="BO46" s="19">
        <f t="shared" si="25"/>
        <v>7414119534</v>
      </c>
      <c r="BP46" s="81">
        <f t="shared" si="26"/>
        <v>1862426550</v>
      </c>
      <c r="BQ46" s="17">
        <v>10265689102</v>
      </c>
      <c r="BR46" s="17"/>
      <c r="BS46" s="17">
        <v>40823385072</v>
      </c>
      <c r="BT46" s="17"/>
      <c r="BU46" s="17">
        <v>1021781483</v>
      </c>
      <c r="BV46" s="19">
        <f t="shared" si="27"/>
        <v>102656891020</v>
      </c>
      <c r="BW46" s="19">
        <f t="shared" si="28"/>
        <v>44540695158.5</v>
      </c>
      <c r="BX46" s="19">
        <f t="shared" si="29"/>
        <v>374441853596.06665</v>
      </c>
      <c r="BY46" s="19">
        <f t="shared" si="30"/>
        <v>7414119534</v>
      </c>
      <c r="BZ46" s="19">
        <f t="shared" si="30"/>
        <v>2884208033</v>
      </c>
      <c r="CA46" s="17">
        <f>VLOOKUP(A46,Hoja3!$B$54:$C$59,2,0)</f>
        <v>23097800480</v>
      </c>
      <c r="CB46" s="17">
        <f>VLOOKUP(A46,Hoja3!$B$3:$F$34,5,0)</f>
        <v>3427472578</v>
      </c>
      <c r="CC46" s="17">
        <f>VLOOKUP(A46,Hoja3!$B$3:$E$35,4,0)</f>
        <v>31948198810</v>
      </c>
      <c r="CD46" s="17"/>
      <c r="CE46" s="17"/>
      <c r="CF46" s="19">
        <f t="shared" si="31"/>
        <v>125754691500</v>
      </c>
      <c r="CG46" s="19">
        <f t="shared" si="32"/>
        <v>47968167736.5</v>
      </c>
      <c r="CH46" s="19">
        <f t="shared" si="33"/>
        <v>406390052406.06665</v>
      </c>
      <c r="CI46" s="19">
        <f t="shared" si="34"/>
        <v>7414119534</v>
      </c>
      <c r="CJ46" s="19">
        <f t="shared" si="35"/>
        <v>2884208033</v>
      </c>
    </row>
    <row r="47" spans="1:88" ht="12.75">
      <c r="A47" s="14">
        <v>8999991244</v>
      </c>
      <c r="B47" s="14">
        <v>899999124</v>
      </c>
      <c r="C47" s="14">
        <v>27500000</v>
      </c>
      <c r="D47" s="15" t="s">
        <v>75</v>
      </c>
      <c r="E47" s="16" t="s">
        <v>76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64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v>1174333606</v>
      </c>
      <c r="AR47" s="18">
        <v>266812615</v>
      </c>
      <c r="AS47" s="18">
        <v>96429495.79999924</v>
      </c>
      <c r="AT47" s="18">
        <v>491939327</v>
      </c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555042947</v>
      </c>
      <c r="AY47" s="17">
        <v>0</v>
      </c>
      <c r="AZ47" s="17"/>
      <c r="BA47" s="17">
        <v>3155181017</v>
      </c>
      <c r="BB47" s="17"/>
      <c r="BC47" s="19">
        <f t="shared" si="36"/>
        <v>0</v>
      </c>
      <c r="BD47" s="19">
        <f t="shared" si="37"/>
        <v>2408384440.5</v>
      </c>
      <c r="BE47" s="19">
        <f t="shared" si="20"/>
        <v>30263127097</v>
      </c>
      <c r="BF47" s="19">
        <f t="shared" si="38"/>
        <v>555042947</v>
      </c>
      <c r="BG47" s="17">
        <v>0</v>
      </c>
      <c r="BH47" s="17"/>
      <c r="BI47" s="17">
        <v>3155181017</v>
      </c>
      <c r="BJ47" s="17"/>
      <c r="BK47" s="17">
        <v>149693912</v>
      </c>
      <c r="BL47" s="19">
        <f t="shared" si="22"/>
        <v>0</v>
      </c>
      <c r="BM47" s="19">
        <f t="shared" si="23"/>
        <v>2408384440.5</v>
      </c>
      <c r="BN47" s="19">
        <f t="shared" si="24"/>
        <v>33418308114</v>
      </c>
      <c r="BO47" s="19">
        <f t="shared" si="25"/>
        <v>555042947</v>
      </c>
      <c r="BP47" s="81">
        <f t="shared" si="26"/>
        <v>149693912</v>
      </c>
      <c r="BQ47" s="17">
        <v>0</v>
      </c>
      <c r="BR47" s="17"/>
      <c r="BS47" s="17">
        <v>3864523138</v>
      </c>
      <c r="BT47" s="17"/>
      <c r="BU47" s="17">
        <v>77290462</v>
      </c>
      <c r="BV47" s="19">
        <f t="shared" si="27"/>
        <v>0</v>
      </c>
      <c r="BW47" s="19">
        <f t="shared" si="28"/>
        <v>2408384440.5</v>
      </c>
      <c r="BX47" s="19">
        <f t="shared" si="29"/>
        <v>37282831252</v>
      </c>
      <c r="BY47" s="19">
        <f t="shared" si="30"/>
        <v>555042947</v>
      </c>
      <c r="BZ47" s="19">
        <f t="shared" si="30"/>
        <v>226984374</v>
      </c>
      <c r="CA47" s="17">
        <v>0</v>
      </c>
      <c r="CB47" s="17">
        <f>VLOOKUP(A47,Hoja3!$B$3:$F$34,5,0)</f>
        <v>251549631</v>
      </c>
      <c r="CC47" s="17">
        <f>VLOOKUP(A47,Hoja3!$B$3:$E$35,4,0)</f>
        <v>3155181017</v>
      </c>
      <c r="CD47" s="17"/>
      <c r="CE47" s="17"/>
      <c r="CF47" s="19">
        <f t="shared" si="31"/>
        <v>0</v>
      </c>
      <c r="CG47" s="19">
        <f t="shared" si="32"/>
        <v>2659934071.5</v>
      </c>
      <c r="CH47" s="19">
        <f t="shared" si="33"/>
        <v>40438012269</v>
      </c>
      <c r="CI47" s="19">
        <f t="shared" si="34"/>
        <v>555042947</v>
      </c>
      <c r="CJ47" s="19">
        <f t="shared" si="35"/>
        <v>226984374</v>
      </c>
    </row>
    <row r="48" spans="1:88" ht="12.75">
      <c r="A48" s="14">
        <v>8999992307</v>
      </c>
      <c r="B48" s="14">
        <v>899999230</v>
      </c>
      <c r="C48" s="14">
        <v>222711001</v>
      </c>
      <c r="D48" s="15" t="s">
        <v>77</v>
      </c>
      <c r="E48" s="16" t="s">
        <v>78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64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v>595851718</v>
      </c>
      <c r="AR48" s="18">
        <v>418112252</v>
      </c>
      <c r="AS48" s="18"/>
      <c r="AT48" s="18">
        <v>138009190</v>
      </c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155811505</v>
      </c>
      <c r="AY48" s="17">
        <v>0</v>
      </c>
      <c r="AZ48" s="17"/>
      <c r="BA48" s="17">
        <v>890115765</v>
      </c>
      <c r="BB48" s="17"/>
      <c r="BC48" s="19">
        <f t="shared" si="36"/>
        <v>0</v>
      </c>
      <c r="BD48" s="19">
        <f t="shared" si="37"/>
        <v>133517364.5</v>
      </c>
      <c r="BE48" s="19">
        <f t="shared" si="20"/>
        <v>9276542771.066666</v>
      </c>
      <c r="BF48" s="19">
        <f t="shared" si="38"/>
        <v>155811505</v>
      </c>
      <c r="BG48" s="17">
        <v>0</v>
      </c>
      <c r="BH48" s="17"/>
      <c r="BI48" s="17">
        <v>890115765</v>
      </c>
      <c r="BJ48" s="17"/>
      <c r="BK48" s="17">
        <v>47521664</v>
      </c>
      <c r="BL48" s="19">
        <f t="shared" si="22"/>
        <v>0</v>
      </c>
      <c r="BM48" s="19">
        <f t="shared" si="23"/>
        <v>133517364.5</v>
      </c>
      <c r="BN48" s="19">
        <f t="shared" si="24"/>
        <v>10166658536.066666</v>
      </c>
      <c r="BO48" s="19">
        <f t="shared" si="25"/>
        <v>155811505</v>
      </c>
      <c r="BP48" s="81">
        <f t="shared" si="26"/>
        <v>47521664</v>
      </c>
      <c r="BQ48" s="17">
        <v>0</v>
      </c>
      <c r="BR48" s="17"/>
      <c r="BS48" s="17">
        <v>1117362553</v>
      </c>
      <c r="BT48" s="17"/>
      <c r="BU48" s="17">
        <v>22347250</v>
      </c>
      <c r="BV48" s="19">
        <f t="shared" si="27"/>
        <v>0</v>
      </c>
      <c r="BW48" s="19">
        <f t="shared" si="28"/>
        <v>133517364.5</v>
      </c>
      <c r="BX48" s="19">
        <f t="shared" si="29"/>
        <v>11284021089.066666</v>
      </c>
      <c r="BY48" s="19">
        <f t="shared" si="30"/>
        <v>155811505</v>
      </c>
      <c r="BZ48" s="19">
        <f t="shared" si="30"/>
        <v>69868914</v>
      </c>
      <c r="CA48" s="17">
        <v>0</v>
      </c>
      <c r="CB48" s="17">
        <f>VLOOKUP(A48,Hoja3!$B$3:$F$34,5,0)</f>
        <v>68068263</v>
      </c>
      <c r="CC48" s="17">
        <f>VLOOKUP(A48,Hoja3!$B$3:$E$35,4,0)</f>
        <v>890115765</v>
      </c>
      <c r="CD48" s="17"/>
      <c r="CE48" s="17"/>
      <c r="CF48" s="19">
        <f t="shared" si="31"/>
        <v>0</v>
      </c>
      <c r="CG48" s="19">
        <f t="shared" si="32"/>
        <v>201585627.5</v>
      </c>
      <c r="CH48" s="19">
        <f t="shared" si="33"/>
        <v>12174136854.066666</v>
      </c>
      <c r="CI48" s="19">
        <f t="shared" si="34"/>
        <v>155811505</v>
      </c>
      <c r="CJ48" s="19">
        <f t="shared" si="35"/>
        <v>69868914</v>
      </c>
    </row>
    <row r="49" spans="1:88" ht="12.75">
      <c r="A49" s="14">
        <v>8020110655</v>
      </c>
      <c r="B49" s="14">
        <v>802011065</v>
      </c>
      <c r="C49" s="14">
        <v>64500000</v>
      </c>
      <c r="D49" s="15" t="s">
        <v>79</v>
      </c>
      <c r="E49" s="16" t="s">
        <v>80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64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>
        <v>0</v>
      </c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  <c r="AY49" s="17">
        <v>0</v>
      </c>
      <c r="AZ49" s="17"/>
      <c r="BA49" s="17">
        <v>167905996</v>
      </c>
      <c r="BB49" s="17"/>
      <c r="BC49" s="19">
        <f t="shared" si="36"/>
        <v>0</v>
      </c>
      <c r="BD49" s="19">
        <f t="shared" si="37"/>
        <v>0</v>
      </c>
      <c r="BE49" s="19">
        <f t="shared" si="20"/>
        <v>1175341972</v>
      </c>
      <c r="BF49" s="19">
        <f t="shared" si="38"/>
        <v>3358120</v>
      </c>
      <c r="BG49" s="17">
        <v>0</v>
      </c>
      <c r="BH49" s="17"/>
      <c r="BI49" s="17">
        <v>167905996</v>
      </c>
      <c r="BJ49" s="17"/>
      <c r="BK49" s="17">
        <v>23506840</v>
      </c>
      <c r="BL49" s="19">
        <f t="shared" si="22"/>
        <v>0</v>
      </c>
      <c r="BM49" s="19">
        <f t="shared" si="23"/>
        <v>0</v>
      </c>
      <c r="BN49" s="19">
        <f t="shared" si="24"/>
        <v>1343247968</v>
      </c>
      <c r="BO49" s="19">
        <f t="shared" si="25"/>
        <v>3358120</v>
      </c>
      <c r="BP49" s="81">
        <f t="shared" si="26"/>
        <v>23506840</v>
      </c>
      <c r="BQ49" s="17">
        <v>0</v>
      </c>
      <c r="BR49" s="17"/>
      <c r="BS49" s="17">
        <v>167905996</v>
      </c>
      <c r="BT49" s="17"/>
      <c r="BU49" s="17">
        <v>3358120</v>
      </c>
      <c r="BV49" s="19">
        <f t="shared" si="27"/>
        <v>0</v>
      </c>
      <c r="BW49" s="19">
        <f t="shared" si="28"/>
        <v>0</v>
      </c>
      <c r="BX49" s="19">
        <f t="shared" si="29"/>
        <v>1511153964</v>
      </c>
      <c r="BY49" s="19">
        <f t="shared" si="30"/>
        <v>3358120</v>
      </c>
      <c r="BZ49" s="19">
        <f t="shared" si="30"/>
        <v>26864960</v>
      </c>
      <c r="CA49" s="17">
        <v>0</v>
      </c>
      <c r="CB49" s="17">
        <v>0</v>
      </c>
      <c r="CC49" s="17">
        <f>VLOOKUP(A49,Hoja3!$B$37:$C$50,2,0)</f>
        <v>167905996</v>
      </c>
      <c r="CD49" s="17"/>
      <c r="CE49" s="17"/>
      <c r="CF49" s="19">
        <f t="shared" si="31"/>
        <v>0</v>
      </c>
      <c r="CG49" s="19">
        <f t="shared" si="32"/>
        <v>0</v>
      </c>
      <c r="CH49" s="19">
        <f t="shared" si="33"/>
        <v>1679059960</v>
      </c>
      <c r="CI49" s="19">
        <f t="shared" si="34"/>
        <v>3358120</v>
      </c>
      <c r="CJ49" s="19">
        <f t="shared" si="35"/>
        <v>26864960</v>
      </c>
    </row>
    <row r="50" spans="1:88" ht="12.75">
      <c r="A50" s="14">
        <v>8904800545</v>
      </c>
      <c r="B50" s="14">
        <v>890480054</v>
      </c>
      <c r="C50" s="14">
        <v>824613000</v>
      </c>
      <c r="D50" s="15" t="s">
        <v>81</v>
      </c>
      <c r="E50" s="16" t="s">
        <v>82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64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>
        <v>0</v>
      </c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  <c r="AY50" s="17">
        <v>0</v>
      </c>
      <c r="AZ50" s="17"/>
      <c r="BA50" s="17">
        <v>207704043</v>
      </c>
      <c r="BB50" s="17"/>
      <c r="BC50" s="19">
        <f t="shared" si="36"/>
        <v>0</v>
      </c>
      <c r="BD50" s="19">
        <f t="shared" si="37"/>
        <v>0</v>
      </c>
      <c r="BE50" s="19">
        <f t="shared" si="20"/>
        <v>1453928301</v>
      </c>
      <c r="BF50" s="19">
        <f t="shared" si="38"/>
        <v>4154081</v>
      </c>
      <c r="BG50" s="17">
        <v>0</v>
      </c>
      <c r="BH50" s="17"/>
      <c r="BI50" s="17">
        <v>207704043</v>
      </c>
      <c r="BJ50" s="17"/>
      <c r="BK50" s="17">
        <v>29078567</v>
      </c>
      <c r="BL50" s="19">
        <f t="shared" si="22"/>
        <v>0</v>
      </c>
      <c r="BM50" s="19">
        <f t="shared" si="23"/>
        <v>0</v>
      </c>
      <c r="BN50" s="19">
        <f t="shared" si="24"/>
        <v>1661632344</v>
      </c>
      <c r="BO50" s="19">
        <f t="shared" si="25"/>
        <v>4154081</v>
      </c>
      <c r="BP50" s="81">
        <f t="shared" si="26"/>
        <v>29078567</v>
      </c>
      <c r="BQ50" s="17">
        <v>0</v>
      </c>
      <c r="BR50" s="17"/>
      <c r="BS50" s="17">
        <v>207704043</v>
      </c>
      <c r="BT50" s="17"/>
      <c r="BU50" s="17">
        <v>4154081</v>
      </c>
      <c r="BV50" s="19">
        <f t="shared" si="27"/>
        <v>0</v>
      </c>
      <c r="BW50" s="19">
        <f t="shared" si="28"/>
        <v>0</v>
      </c>
      <c r="BX50" s="19">
        <f t="shared" si="29"/>
        <v>1869336387</v>
      </c>
      <c r="BY50" s="19">
        <f t="shared" si="30"/>
        <v>4154081</v>
      </c>
      <c r="BZ50" s="19">
        <f t="shared" si="30"/>
        <v>33232648</v>
      </c>
      <c r="CA50" s="17">
        <v>0</v>
      </c>
      <c r="CB50" s="17">
        <v>0</v>
      </c>
      <c r="CC50" s="17">
        <f>VLOOKUP(A50,Hoja3!$B$37:$C$50,2,0)</f>
        <v>207704043</v>
      </c>
      <c r="CD50" s="17"/>
      <c r="CE50" s="17"/>
      <c r="CF50" s="19">
        <f t="shared" si="31"/>
        <v>0</v>
      </c>
      <c r="CG50" s="19">
        <f t="shared" si="32"/>
        <v>0</v>
      </c>
      <c r="CH50" s="19">
        <f t="shared" si="33"/>
        <v>2077040430</v>
      </c>
      <c r="CI50" s="19">
        <f t="shared" si="34"/>
        <v>4154081</v>
      </c>
      <c r="CJ50" s="19">
        <f t="shared" si="35"/>
        <v>33232648</v>
      </c>
    </row>
    <row r="51" spans="1:88" ht="12.75">
      <c r="A51" s="14">
        <v>8909801531</v>
      </c>
      <c r="B51" s="14">
        <v>890980153</v>
      </c>
      <c r="C51" s="14">
        <v>821505000</v>
      </c>
      <c r="D51" s="15" t="s">
        <v>83</v>
      </c>
      <c r="E51" s="16" t="s">
        <v>84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64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>
        <v>0</v>
      </c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  <c r="AY51" s="17">
        <v>0</v>
      </c>
      <c r="AZ51" s="17"/>
      <c r="BA51" s="17">
        <v>494392467</v>
      </c>
      <c r="BB51" s="17"/>
      <c r="BC51" s="19">
        <f t="shared" si="36"/>
        <v>0</v>
      </c>
      <c r="BD51" s="19">
        <f t="shared" si="37"/>
        <v>0</v>
      </c>
      <c r="BE51" s="19">
        <f t="shared" si="20"/>
        <v>3460747269</v>
      </c>
      <c r="BF51" s="19">
        <f t="shared" si="38"/>
        <v>9887849</v>
      </c>
      <c r="BG51" s="17">
        <v>0</v>
      </c>
      <c r="BH51" s="17"/>
      <c r="BI51" s="17">
        <v>494392467</v>
      </c>
      <c r="BJ51" s="17"/>
      <c r="BK51" s="17">
        <v>69214943</v>
      </c>
      <c r="BL51" s="19">
        <f t="shared" si="22"/>
        <v>0</v>
      </c>
      <c r="BM51" s="19">
        <f t="shared" si="23"/>
        <v>0</v>
      </c>
      <c r="BN51" s="19">
        <f t="shared" si="24"/>
        <v>3955139736</v>
      </c>
      <c r="BO51" s="19">
        <f t="shared" si="25"/>
        <v>9887849</v>
      </c>
      <c r="BP51" s="81">
        <f t="shared" si="26"/>
        <v>69214943</v>
      </c>
      <c r="BQ51" s="17">
        <v>0</v>
      </c>
      <c r="BR51" s="17"/>
      <c r="BS51" s="17">
        <v>494392467</v>
      </c>
      <c r="BT51" s="17"/>
      <c r="BU51" s="17">
        <v>9887849</v>
      </c>
      <c r="BV51" s="19">
        <f t="shared" si="27"/>
        <v>0</v>
      </c>
      <c r="BW51" s="19">
        <f t="shared" si="28"/>
        <v>0</v>
      </c>
      <c r="BX51" s="19">
        <f t="shared" si="29"/>
        <v>4449532203</v>
      </c>
      <c r="BY51" s="19">
        <f t="shared" si="30"/>
        <v>9887849</v>
      </c>
      <c r="BZ51" s="19">
        <f t="shared" si="30"/>
        <v>79102792</v>
      </c>
      <c r="CA51" s="17">
        <v>0</v>
      </c>
      <c r="CB51" s="17">
        <v>0</v>
      </c>
      <c r="CC51" s="17">
        <f>VLOOKUP(A51,Hoja3!$B$37:$C$50,2,0)</f>
        <v>494392467</v>
      </c>
      <c r="CD51" s="17"/>
      <c r="CE51" s="17"/>
      <c r="CF51" s="19">
        <f t="shared" si="31"/>
        <v>0</v>
      </c>
      <c r="CG51" s="19">
        <f t="shared" si="32"/>
        <v>0</v>
      </c>
      <c r="CH51" s="19">
        <f t="shared" si="33"/>
        <v>4943924670</v>
      </c>
      <c r="CI51" s="19">
        <f t="shared" si="34"/>
        <v>9887849</v>
      </c>
      <c r="CJ51" s="19">
        <f t="shared" si="35"/>
        <v>79102792</v>
      </c>
    </row>
    <row r="52" spans="1:88" ht="12.75">
      <c r="A52" s="27">
        <v>8909801121</v>
      </c>
      <c r="B52" s="14">
        <v>890980112</v>
      </c>
      <c r="C52" s="27">
        <v>218805088</v>
      </c>
      <c r="D52" s="28" t="s">
        <v>85</v>
      </c>
      <c r="E52" s="16" t="s">
        <v>86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64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>
        <v>0</v>
      </c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  <c r="AY52" s="17">
        <v>0</v>
      </c>
      <c r="AZ52" s="17"/>
      <c r="BA52" s="17">
        <v>0</v>
      </c>
      <c r="BB52" s="17"/>
      <c r="BC52" s="19">
        <f t="shared" si="36"/>
        <v>0</v>
      </c>
      <c r="BD52" s="19">
        <f t="shared" si="37"/>
        <v>0</v>
      </c>
      <c r="BE52" s="19">
        <f t="shared" si="20"/>
        <v>0</v>
      </c>
      <c r="BF52" s="19">
        <f t="shared" si="38"/>
        <v>0</v>
      </c>
      <c r="BG52" s="17">
        <v>0</v>
      </c>
      <c r="BH52" s="17"/>
      <c r="BI52" s="17">
        <v>0</v>
      </c>
      <c r="BJ52" s="17"/>
      <c r="BK52" s="17">
        <v>0</v>
      </c>
      <c r="BL52" s="19">
        <f t="shared" si="22"/>
        <v>0</v>
      </c>
      <c r="BM52" s="19">
        <f t="shared" si="23"/>
        <v>0</v>
      </c>
      <c r="BN52" s="19">
        <f t="shared" si="24"/>
        <v>0</v>
      </c>
      <c r="BO52" s="19">
        <f t="shared" si="25"/>
        <v>0</v>
      </c>
      <c r="BP52" s="81">
        <f t="shared" si="26"/>
        <v>0</v>
      </c>
      <c r="BQ52" s="17">
        <v>0</v>
      </c>
      <c r="BR52" s="17"/>
      <c r="BS52" s="17">
        <v>0</v>
      </c>
      <c r="BT52" s="17"/>
      <c r="BU52" s="17">
        <v>0</v>
      </c>
      <c r="BV52" s="19">
        <f t="shared" si="27"/>
        <v>0</v>
      </c>
      <c r="BW52" s="19">
        <f t="shared" si="28"/>
        <v>0</v>
      </c>
      <c r="BX52" s="19">
        <f t="shared" si="29"/>
        <v>0</v>
      </c>
      <c r="BY52" s="19">
        <f t="shared" si="30"/>
        <v>0</v>
      </c>
      <c r="BZ52" s="19">
        <f t="shared" si="30"/>
        <v>0</v>
      </c>
      <c r="CA52" s="17">
        <v>0</v>
      </c>
      <c r="CB52" s="17">
        <v>0</v>
      </c>
      <c r="CC52" s="17">
        <v>0</v>
      </c>
      <c r="CD52" s="17"/>
      <c r="CE52" s="17"/>
      <c r="CF52" s="19">
        <f t="shared" si="31"/>
        <v>0</v>
      </c>
      <c r="CG52" s="19">
        <f t="shared" si="32"/>
        <v>0</v>
      </c>
      <c r="CH52" s="19">
        <f t="shared" si="33"/>
        <v>0</v>
      </c>
      <c r="CI52" s="19">
        <f t="shared" si="34"/>
        <v>0</v>
      </c>
      <c r="CJ52" s="19">
        <f t="shared" si="35"/>
        <v>0</v>
      </c>
    </row>
    <row r="53" spans="1:88" ht="13.5" thickBot="1">
      <c r="A53" s="30">
        <v>8905015784</v>
      </c>
      <c r="B53" s="14">
        <v>890501578</v>
      </c>
      <c r="C53" s="31"/>
      <c r="D53" s="32" t="s">
        <v>87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64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>
        <v>0</v>
      </c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  <c r="AY53" s="17">
        <v>0</v>
      </c>
      <c r="AZ53" s="17"/>
      <c r="BA53" s="17">
        <v>174590931</v>
      </c>
      <c r="BB53" s="17"/>
      <c r="BC53" s="19">
        <f t="shared" si="36"/>
        <v>0</v>
      </c>
      <c r="BD53" s="19">
        <f t="shared" si="37"/>
        <v>0</v>
      </c>
      <c r="BE53" s="19">
        <f t="shared" si="20"/>
        <v>1222136517</v>
      </c>
      <c r="BF53" s="19">
        <f t="shared" si="38"/>
        <v>3491819</v>
      </c>
      <c r="BG53" s="17">
        <v>0</v>
      </c>
      <c r="BH53" s="17"/>
      <c r="BI53" s="17">
        <v>174590931</v>
      </c>
      <c r="BJ53" s="17"/>
      <c r="BK53" s="17">
        <v>24442733</v>
      </c>
      <c r="BL53" s="19">
        <f t="shared" si="22"/>
        <v>0</v>
      </c>
      <c r="BM53" s="19">
        <f t="shared" si="23"/>
        <v>0</v>
      </c>
      <c r="BN53" s="19">
        <f t="shared" si="24"/>
        <v>1396727448</v>
      </c>
      <c r="BO53" s="19">
        <f t="shared" si="25"/>
        <v>3491819</v>
      </c>
      <c r="BP53" s="81">
        <f t="shared" si="26"/>
        <v>24442733</v>
      </c>
      <c r="BQ53" s="17">
        <v>0</v>
      </c>
      <c r="BR53" s="17"/>
      <c r="BS53" s="17">
        <v>174590931</v>
      </c>
      <c r="BT53" s="17"/>
      <c r="BU53" s="17">
        <v>3491819</v>
      </c>
      <c r="BV53" s="19">
        <f t="shared" si="27"/>
        <v>0</v>
      </c>
      <c r="BW53" s="19">
        <f t="shared" si="28"/>
        <v>0</v>
      </c>
      <c r="BX53" s="19">
        <f t="shared" si="29"/>
        <v>1571318379</v>
      </c>
      <c r="BY53" s="19">
        <f t="shared" si="30"/>
        <v>3491819</v>
      </c>
      <c r="BZ53" s="19">
        <f t="shared" si="30"/>
        <v>27934552</v>
      </c>
      <c r="CA53" s="17">
        <v>0</v>
      </c>
      <c r="CB53" s="17">
        <v>0</v>
      </c>
      <c r="CC53" s="17">
        <f>VLOOKUP(A53,Hoja3!$B$37:$C$50,2,0)</f>
        <v>174590931</v>
      </c>
      <c r="CD53" s="17"/>
      <c r="CE53" s="17"/>
      <c r="CF53" s="19">
        <f t="shared" si="31"/>
        <v>0</v>
      </c>
      <c r="CG53" s="19">
        <f t="shared" si="32"/>
        <v>0</v>
      </c>
      <c r="CH53" s="19">
        <f t="shared" si="33"/>
        <v>1745909310</v>
      </c>
      <c r="CI53" s="19">
        <f t="shared" si="34"/>
        <v>3491819</v>
      </c>
      <c r="CJ53" s="19">
        <f t="shared" si="35"/>
        <v>27934552</v>
      </c>
    </row>
    <row r="54" spans="1:88" ht="12.75">
      <c r="A54" s="30">
        <v>8919028110</v>
      </c>
      <c r="B54" s="14">
        <v>891902811</v>
      </c>
      <c r="C54" s="76">
        <v>824376000</v>
      </c>
      <c r="D54" s="32" t="s">
        <v>88</v>
      </c>
      <c r="E54" s="44" t="s">
        <v>95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64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>
        <v>0</v>
      </c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  <c r="AY54" s="17">
        <v>0</v>
      </c>
      <c r="AZ54" s="17"/>
      <c r="BA54" s="17">
        <v>222657248</v>
      </c>
      <c r="BB54" s="17"/>
      <c r="BC54" s="19">
        <f t="shared" si="36"/>
        <v>0</v>
      </c>
      <c r="BD54" s="19">
        <f t="shared" si="37"/>
        <v>0</v>
      </c>
      <c r="BE54" s="19">
        <f t="shared" si="20"/>
        <v>1558600736</v>
      </c>
      <c r="BF54" s="19">
        <f t="shared" si="38"/>
        <v>7130773.6</v>
      </c>
      <c r="BG54" s="17">
        <v>0</v>
      </c>
      <c r="BH54" s="17"/>
      <c r="BI54" s="17">
        <v>222657248</v>
      </c>
      <c r="BJ54" s="17"/>
      <c r="BK54" s="17">
        <v>31172015</v>
      </c>
      <c r="BL54" s="19">
        <f t="shared" si="22"/>
        <v>0</v>
      </c>
      <c r="BM54" s="19">
        <f t="shared" si="23"/>
        <v>0</v>
      </c>
      <c r="BN54" s="19">
        <f t="shared" si="24"/>
        <v>1781257984</v>
      </c>
      <c r="BO54" s="19">
        <f t="shared" si="25"/>
        <v>7130773.6</v>
      </c>
      <c r="BP54" s="81">
        <f t="shared" si="26"/>
        <v>31172015</v>
      </c>
      <c r="BQ54" s="17">
        <v>0</v>
      </c>
      <c r="BR54" s="17"/>
      <c r="BS54" s="17">
        <v>222657248</v>
      </c>
      <c r="BT54" s="17"/>
      <c r="BU54" s="17">
        <v>4453145</v>
      </c>
      <c r="BV54" s="19">
        <f t="shared" si="27"/>
        <v>0</v>
      </c>
      <c r="BW54" s="19">
        <f t="shared" si="28"/>
        <v>0</v>
      </c>
      <c r="BX54" s="19">
        <f t="shared" si="29"/>
        <v>2003915232</v>
      </c>
      <c r="BY54" s="19">
        <f t="shared" si="30"/>
        <v>7130773.6</v>
      </c>
      <c r="BZ54" s="19">
        <f t="shared" si="30"/>
        <v>35625160</v>
      </c>
      <c r="CA54" s="17">
        <v>0</v>
      </c>
      <c r="CB54" s="17">
        <v>0</v>
      </c>
      <c r="CC54" s="17">
        <f>VLOOKUP(A54,Hoja3!$B$37:$C$50,2,0)</f>
        <v>222657248</v>
      </c>
      <c r="CD54" s="17"/>
      <c r="CE54" s="17"/>
      <c r="CF54" s="19">
        <f t="shared" si="31"/>
        <v>0</v>
      </c>
      <c r="CG54" s="19">
        <f t="shared" si="32"/>
        <v>0</v>
      </c>
      <c r="CH54" s="19">
        <f t="shared" si="33"/>
        <v>2226572480</v>
      </c>
      <c r="CI54" s="19">
        <f t="shared" si="34"/>
        <v>7130773.6</v>
      </c>
      <c r="CJ54" s="19">
        <f t="shared" si="35"/>
        <v>35625160</v>
      </c>
    </row>
    <row r="55" spans="1:88" ht="24" customHeight="1">
      <c r="A55" s="33" t="s">
        <v>89</v>
      </c>
      <c r="B55" s="61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39" ref="AD55:AI55">SUM(AD4:AD54)</f>
        <v>669829041018.8666</v>
      </c>
      <c r="AE55" s="38">
        <f t="shared" si="39"/>
        <v>3030379955.3399997</v>
      </c>
      <c r="AF55" s="37">
        <f t="shared" si="39"/>
        <v>14415080358</v>
      </c>
      <c r="AG55" s="37">
        <f t="shared" si="39"/>
        <v>0</v>
      </c>
      <c r="AH55" s="37">
        <f t="shared" si="39"/>
        <v>144877128612</v>
      </c>
      <c r="AI55" s="37">
        <f t="shared" si="39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40" ref="AL55:AT55">SUM(AL4:AL54)</f>
        <v>814706169630.8665</v>
      </c>
      <c r="AM55" s="38">
        <f t="shared" si="40"/>
        <v>3036119791.1</v>
      </c>
      <c r="AN55" s="37">
        <f t="shared" si="40"/>
        <v>28830169444</v>
      </c>
      <c r="AO55" s="37">
        <f t="shared" si="40"/>
        <v>22524287411.5</v>
      </c>
      <c r="AP55" s="37">
        <f t="shared" si="40"/>
        <v>266187916239</v>
      </c>
      <c r="AQ55" s="37">
        <f t="shared" si="40"/>
        <v>66000000000</v>
      </c>
      <c r="AR55" s="37">
        <f t="shared" si="40"/>
        <v>27623624798</v>
      </c>
      <c r="AS55" s="37">
        <f t="shared" si="40"/>
        <v>301000173.79999924</v>
      </c>
      <c r="AT55" s="37">
        <f t="shared" si="40"/>
        <v>22137489426.2</v>
      </c>
      <c r="AU55" s="38">
        <f>SUM(AU4:AU52)</f>
        <v>100905575598.06667</v>
      </c>
      <c r="AV55" s="38">
        <f>SUM(AV4:AV52)</f>
        <v>83287233050.5</v>
      </c>
      <c r="AW55" s="38">
        <f>SUM(AW4:AW54)</f>
        <v>1174818710841.6667</v>
      </c>
      <c r="AX55" s="38">
        <f>SUM(AX4:AX54)</f>
        <v>25173609217.3</v>
      </c>
      <c r="AY55" s="37">
        <f>SUM(AY4:AY54)</f>
        <v>14415084722</v>
      </c>
      <c r="AZ55" s="37">
        <f>SUM(AZ4:AZ54)</f>
        <v>0</v>
      </c>
      <c r="BA55" s="37">
        <f>SUM(BA4:BA54)</f>
        <v>134547046593</v>
      </c>
      <c r="BB55" s="37">
        <f>SUM(BB4:BB54)</f>
        <v>4422979.37</v>
      </c>
      <c r="BC55" s="38">
        <f>SUM(BC4:BC52)</f>
        <v>115320660320.06667</v>
      </c>
      <c r="BD55" s="38">
        <f>SUM(BD4:BD52)</f>
        <v>83287233050.5</v>
      </c>
      <c r="BE55" s="38">
        <f>SUM(BE4:BE54)</f>
        <v>1309365757434.6667</v>
      </c>
      <c r="BF55" s="38">
        <f>SUM(BF4:BF54)</f>
        <v>25178032196.67</v>
      </c>
      <c r="BG55" s="37">
        <f>SUM(BG4:BG54)</f>
        <v>14415084722</v>
      </c>
      <c r="BH55" s="37">
        <f>SUM(BH4:BH54)</f>
        <v>0</v>
      </c>
      <c r="BI55" s="37">
        <f>SUM(BI4:BI54)</f>
        <v>134547046593</v>
      </c>
      <c r="BJ55" s="37">
        <f>SUM(BJ4:BJ54)</f>
        <v>3282347.6799999997</v>
      </c>
      <c r="BK55" s="37">
        <f>SUM(BK4:BK54)</f>
        <v>7487140627</v>
      </c>
      <c r="BL55" s="38">
        <f>SUM(BL4:BL52)</f>
        <v>129735745042.06667</v>
      </c>
      <c r="BM55" s="38">
        <f>SUM(BM4:BM52)</f>
        <v>83287233050.5</v>
      </c>
      <c r="BN55" s="38">
        <f>SUM(BN4:BN54)</f>
        <v>1443912804027.6667</v>
      </c>
      <c r="BO55" s="38">
        <f>SUM(BO4:BO54)</f>
        <v>25181314544.35</v>
      </c>
      <c r="BP55" s="38">
        <f>SUM(BP4:BP54)</f>
        <v>7487140627</v>
      </c>
      <c r="BQ55" s="37">
        <f>SUM(BQ4:BQ54)</f>
        <v>14415084722</v>
      </c>
      <c r="BR55" s="37">
        <f>SUM(BR4:BR54)</f>
        <v>0</v>
      </c>
      <c r="BS55" s="37">
        <f>SUM(BS4:BS54)</f>
        <v>166384391584</v>
      </c>
      <c r="BT55" s="37">
        <f>SUM(BT4:BT54)</f>
        <v>3582892.32</v>
      </c>
      <c r="BU55" s="37">
        <f>SUM(BU4:BU54)</f>
        <v>3604280622</v>
      </c>
      <c r="BV55" s="38">
        <f>SUM(BV4:BV52)</f>
        <v>144150829764.06665</v>
      </c>
      <c r="BW55" s="38">
        <f>SUM(BW4:BW52)</f>
        <v>83287233050.5</v>
      </c>
      <c r="BX55" s="38">
        <f>SUM(BX4:BX54)</f>
        <v>1610297195611.6667</v>
      </c>
      <c r="BY55" s="38">
        <f>SUM(BY4:BY54)</f>
        <v>25184897436.67</v>
      </c>
      <c r="BZ55" s="38">
        <f>SUM(BZ4:BZ54)</f>
        <v>11091421249</v>
      </c>
      <c r="CA55" s="37">
        <f>SUM(CA4:CA54)</f>
        <v>27247196100</v>
      </c>
      <c r="CB55" s="37">
        <f>SUM(CB4:CB54)</f>
        <v>11318405669</v>
      </c>
      <c r="CC55" s="37">
        <f>SUM(CC4:CC54)</f>
        <v>134547046593</v>
      </c>
      <c r="CD55" s="37">
        <f>SUM(CD4:CD54)</f>
        <v>0</v>
      </c>
      <c r="CE55" s="37">
        <f>SUM(CE4:CE54)</f>
        <v>0</v>
      </c>
      <c r="CF55" s="38">
        <f>SUM(CF4:CF52)</f>
        <v>171398025864.06665</v>
      </c>
      <c r="CG55" s="38">
        <f>SUM(CG4:CG52)</f>
        <v>94605638719.5</v>
      </c>
      <c r="CH55" s="38">
        <f>SUM(CH4:CH54)</f>
        <v>1744844242204.6667</v>
      </c>
      <c r="CI55" s="38">
        <f>SUM(CI4:CI54)</f>
        <v>25184897436.67</v>
      </c>
      <c r="CJ55" s="38">
        <f>SUM(CJ4:CJ54)</f>
        <v>11091421249</v>
      </c>
    </row>
    <row r="56" spans="8:12" ht="15">
      <c r="H56" s="40"/>
      <c r="J56" s="39"/>
      <c r="K56" s="39"/>
      <c r="L56" s="39"/>
    </row>
    <row r="57" spans="8:81" ht="15">
      <c r="H57" s="41">
        <f>+H45*2%</f>
        <v>27533073.589333333</v>
      </c>
      <c r="J57" s="42"/>
      <c r="K57" s="42"/>
      <c r="L57" s="42"/>
      <c r="M57" s="41">
        <f>+M45*2%</f>
        <v>0</v>
      </c>
      <c r="N57" s="41">
        <f>+N45*2%</f>
        <v>0</v>
      </c>
      <c r="O57" s="41">
        <f>+O45*2%</f>
        <v>55066147.2</v>
      </c>
      <c r="S57" s="41">
        <f>+S45*2%</f>
        <v>0</v>
      </c>
      <c r="T57" s="41">
        <f>+T45*2%</f>
        <v>0</v>
      </c>
      <c r="U57" s="41">
        <f>+U45*2%</f>
        <v>27533073.6</v>
      </c>
      <c r="Y57" s="41">
        <f>+Y45*2%</f>
        <v>0</v>
      </c>
      <c r="Z57" s="41">
        <f>+Z45*2%</f>
        <v>15398257.16</v>
      </c>
      <c r="AA57" s="41">
        <f>+AA45*2%</f>
        <v>27533073.6</v>
      </c>
      <c r="AD57" s="82">
        <f>+AD54*2%</f>
        <v>17812579.84</v>
      </c>
      <c r="AF57" s="41">
        <f>+AF45*2%</f>
        <v>0</v>
      </c>
      <c r="AG57" s="41">
        <f>+AG45*2%</f>
        <v>0</v>
      </c>
      <c r="AH57" s="41">
        <f>+AH45*2%</f>
        <v>32355324.42</v>
      </c>
      <c r="AN57" s="41">
        <f aca="true" t="shared" si="41" ref="AN57:AS57">+AN45*2%</f>
        <v>0</v>
      </c>
      <c r="AO57" s="41">
        <f t="shared" si="41"/>
        <v>4291306.14</v>
      </c>
      <c r="AP57" s="41">
        <f t="shared" si="41"/>
        <v>55066147.2</v>
      </c>
      <c r="AQ57" s="41">
        <f t="shared" si="41"/>
        <v>36160152.04</v>
      </c>
      <c r="AR57" s="41">
        <f t="shared" si="41"/>
        <v>711591.62</v>
      </c>
      <c r="AS57" s="41">
        <f t="shared" si="41"/>
        <v>0</v>
      </c>
      <c r="AT57" s="42">
        <f>SUM(F57:AS57)</f>
        <v>299460726.40933335</v>
      </c>
      <c r="AY57" s="41" t="s">
        <v>90</v>
      </c>
      <c r="BO57" s="82">
        <v>25184897436.67</v>
      </c>
      <c r="BW57" s="82">
        <f>+BW45*98%</f>
        <v>964788601.6999999</v>
      </c>
      <c r="BX57" s="82">
        <f>+BX45*98%</f>
        <v>17194993955.477333</v>
      </c>
      <c r="BY57" s="82">
        <v>25184897436.67</v>
      </c>
      <c r="CC57" s="41">
        <f>+CC55+CA55</f>
        <v>161794242693</v>
      </c>
    </row>
    <row r="58" spans="8:76" ht="15" customHeight="1">
      <c r="H58" s="41" t="s">
        <v>90</v>
      </c>
      <c r="Y58" s="67"/>
      <c r="Z58" s="66"/>
      <c r="AE58" s="42"/>
      <c r="AM58" s="42"/>
      <c r="AT58" s="42">
        <f>+AT57-AX45</f>
        <v>55063436.40933335</v>
      </c>
      <c r="BO58" s="42">
        <f>+BO57-BO55</f>
        <v>3582892.319999695</v>
      </c>
      <c r="BW58" s="82">
        <f>+BW45*2%</f>
        <v>19689563.3</v>
      </c>
      <c r="BX58" s="82">
        <f>+BX45*2%</f>
        <v>350918243.98933333</v>
      </c>
    </row>
    <row r="59" spans="8:26" ht="15">
      <c r="H59" s="41" t="s">
        <v>90</v>
      </c>
      <c r="Y59" s="65"/>
      <c r="Z59" s="66"/>
    </row>
    <row r="60" spans="25:26" ht="15">
      <c r="Y60" s="66"/>
      <c r="Z60" s="66"/>
    </row>
  </sheetData>
  <sheetProtection/>
  <autoFilter ref="CA3:CJ55"/>
  <mergeCells count="20">
    <mergeCell ref="CA2:CE2"/>
    <mergeCell ref="CF2:CJ2"/>
    <mergeCell ref="BV2:BZ2"/>
    <mergeCell ref="BL2:BP2"/>
    <mergeCell ref="BG2:BK2"/>
    <mergeCell ref="BQ2:BU2"/>
    <mergeCell ref="AY2:BB2"/>
    <mergeCell ref="BC2:BF2"/>
    <mergeCell ref="F2:I2"/>
    <mergeCell ref="J2:L2"/>
    <mergeCell ref="M2:O2"/>
    <mergeCell ref="P2:R2"/>
    <mergeCell ref="S2:U2"/>
    <mergeCell ref="AN2:AT2"/>
    <mergeCell ref="AU2:AX2"/>
    <mergeCell ref="AB2:AE2"/>
    <mergeCell ref="AJ2:AM2"/>
    <mergeCell ref="V2:X2"/>
    <mergeCell ref="Y2:AA2"/>
    <mergeCell ref="AF2:AI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.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  <hyperlink ref="E4" r:id="rId11" display="contabilidad@udenar.edu.co"/>
    <hyperlink ref="E14" r:id="rId12" display="rector@uniquindio.edu.co"/>
    <hyperlink ref="E15" r:id="rId13" display="rector@uniatlantico.edu.co"/>
    <hyperlink ref="E16" r:id="rId14" display="uiscontabilidad@hotmail.com"/>
    <hyperlink ref="E19" r:id="rId15" display="rectoria@ufps.edu.co"/>
    <hyperlink ref="E24" r:id="rId16" display="contabil@ucaldas.edu.co"/>
    <hyperlink ref="E30" r:id="rId17" display="contabilidad@usco.edu.co"/>
    <hyperlink ref="E31" r:id="rId18" display="contabilidad@uniamazonia.edu.co"/>
  </hyperlinks>
  <printOptions/>
  <pageMargins left="0.7" right="0.7" top="0.75" bottom="0.75" header="0.3" footer="0.3"/>
  <pageSetup horizontalDpi="600" verticalDpi="600" orientation="portrait" paperSize="9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6">
      <selection activeCell="F3" sqref="F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62" t="s">
        <v>99</v>
      </c>
      <c r="F1" s="72" t="s">
        <v>166</v>
      </c>
    </row>
    <row r="2" spans="1:5" ht="15">
      <c r="A2" s="70" t="s">
        <v>150</v>
      </c>
      <c r="B2" s="70" t="s">
        <v>1</v>
      </c>
      <c r="C2" s="70" t="s">
        <v>209</v>
      </c>
      <c r="D2" s="70" t="s">
        <v>151</v>
      </c>
      <c r="E2" s="70" t="s">
        <v>210</v>
      </c>
    </row>
    <row r="3" spans="1:6" ht="15">
      <c r="A3" s="45" t="s">
        <v>100</v>
      </c>
      <c r="B3" s="14">
        <v>8919008530</v>
      </c>
      <c r="C3" s="46">
        <v>118402650</v>
      </c>
      <c r="D3" s="46">
        <v>373318</v>
      </c>
      <c r="E3" s="47">
        <f>+C3+D3</f>
        <v>118775968</v>
      </c>
      <c r="F3" s="90"/>
    </row>
    <row r="4" spans="1:6" ht="15">
      <c r="A4" s="45" t="s">
        <v>101</v>
      </c>
      <c r="B4" s="14">
        <v>8001448299</v>
      </c>
      <c r="C4" s="46">
        <f>951267313</f>
        <v>951267313</v>
      </c>
      <c r="D4" s="46">
        <v>48590006</v>
      </c>
      <c r="E4" s="47">
        <f aca="true" t="shared" si="0" ref="E4:E27">+C4+D4</f>
        <v>999857319</v>
      </c>
      <c r="F4" s="90">
        <v>81033502</v>
      </c>
    </row>
    <row r="5" spans="1:6" ht="15">
      <c r="A5" s="45" t="s">
        <v>102</v>
      </c>
      <c r="B5" s="14">
        <v>8909800408</v>
      </c>
      <c r="C5" s="46">
        <f>14972203142</f>
        <v>14972203142</v>
      </c>
      <c r="D5" s="46">
        <v>45966213</v>
      </c>
      <c r="E5" s="47">
        <f t="shared" si="0"/>
        <v>15018169355</v>
      </c>
      <c r="F5" s="90">
        <v>1148458151</v>
      </c>
    </row>
    <row r="6" spans="1:6" ht="15">
      <c r="A6" s="45" t="s">
        <v>103</v>
      </c>
      <c r="B6" s="14">
        <v>8908010630</v>
      </c>
      <c r="C6" s="46">
        <f>3708425975</f>
        <v>3708425975</v>
      </c>
      <c r="D6" s="46">
        <v>14855335</v>
      </c>
      <c r="E6" s="47">
        <f t="shared" si="0"/>
        <v>3723281310</v>
      </c>
      <c r="F6" s="90">
        <v>375797461</v>
      </c>
    </row>
    <row r="7" spans="1:8" ht="15">
      <c r="A7" s="45" t="s">
        <v>104</v>
      </c>
      <c r="B7" s="14">
        <v>8904801235</v>
      </c>
      <c r="C7" s="46">
        <f>3963436453</f>
        <v>3963436453</v>
      </c>
      <c r="D7" s="46">
        <v>12433458</v>
      </c>
      <c r="E7" s="47">
        <f t="shared" si="0"/>
        <v>3975869911</v>
      </c>
      <c r="F7" s="90">
        <v>304039733</v>
      </c>
      <c r="G7" s="68"/>
      <c r="H7" s="68"/>
    </row>
    <row r="8" spans="1:8" ht="15">
      <c r="A8" s="45" t="s">
        <v>105</v>
      </c>
      <c r="B8" s="14">
        <v>8910800313</v>
      </c>
      <c r="C8" s="46">
        <f>3728949469</f>
        <v>3728949469</v>
      </c>
      <c r="D8" s="46">
        <v>17094898</v>
      </c>
      <c r="E8" s="47">
        <f t="shared" si="0"/>
        <v>3746044367</v>
      </c>
      <c r="F8" s="90">
        <v>426279037</v>
      </c>
      <c r="G8" s="68"/>
      <c r="H8" s="68"/>
    </row>
    <row r="9" spans="1:8" ht="15">
      <c r="A9" s="45" t="s">
        <v>106</v>
      </c>
      <c r="B9" s="14">
        <v>8906800622</v>
      </c>
      <c r="C9" s="46">
        <f>629159489</f>
        <v>629159489</v>
      </c>
      <c r="D9" s="46">
        <v>38266521</v>
      </c>
      <c r="E9" s="47">
        <f t="shared" si="0"/>
        <v>667426010</v>
      </c>
      <c r="F9" s="90">
        <v>51038900</v>
      </c>
      <c r="G9" s="68"/>
      <c r="H9" s="68"/>
    </row>
    <row r="10" spans="1:8" ht="15">
      <c r="A10" s="45" t="s">
        <v>107</v>
      </c>
      <c r="B10" s="14">
        <v>8911903461</v>
      </c>
      <c r="C10" s="46">
        <f>1224166589</f>
        <v>1224166589</v>
      </c>
      <c r="D10" s="46">
        <v>50050293</v>
      </c>
      <c r="E10" s="47">
        <f t="shared" si="0"/>
        <v>1274216882</v>
      </c>
      <c r="F10" s="90">
        <v>100653608</v>
      </c>
      <c r="G10" s="68"/>
      <c r="H10" s="68"/>
    </row>
    <row r="11" spans="1:8" ht="15">
      <c r="A11" s="45" t="s">
        <v>108</v>
      </c>
      <c r="B11" s="14">
        <v>8921150294</v>
      </c>
      <c r="C11" s="46">
        <f>1013496213</f>
        <v>1013496213</v>
      </c>
      <c r="D11" s="46">
        <v>44692021</v>
      </c>
      <c r="E11" s="47">
        <f t="shared" si="0"/>
        <v>1058188234</v>
      </c>
      <c r="F11" s="90">
        <v>80920975</v>
      </c>
      <c r="G11" s="68"/>
      <c r="H11" s="68"/>
    </row>
    <row r="12" spans="1:9" ht="15">
      <c r="A12" s="45" t="s">
        <v>109</v>
      </c>
      <c r="B12" s="14">
        <v>8920007573</v>
      </c>
      <c r="C12" s="46">
        <f>1424066128</f>
        <v>1424066128</v>
      </c>
      <c r="D12" s="46">
        <v>4450637</v>
      </c>
      <c r="E12" s="47">
        <f t="shared" si="0"/>
        <v>1428516765</v>
      </c>
      <c r="F12" s="90">
        <v>115003312</v>
      </c>
      <c r="G12" s="68"/>
      <c r="H12" s="69"/>
      <c r="I12" s="60"/>
    </row>
    <row r="13" spans="1:9" ht="15">
      <c r="A13" s="45" t="s">
        <v>110</v>
      </c>
      <c r="B13" s="14">
        <v>8001189541</v>
      </c>
      <c r="C13" s="46">
        <f>3071842701</f>
        <v>3071842701</v>
      </c>
      <c r="D13" s="46">
        <v>9491159</v>
      </c>
      <c r="E13" s="47">
        <f t="shared" si="0"/>
        <v>3081333860</v>
      </c>
      <c r="F13" s="90">
        <v>235633445</v>
      </c>
      <c r="H13" s="60"/>
      <c r="I13" s="60"/>
    </row>
    <row r="14" spans="1:9" ht="15">
      <c r="A14" s="45" t="s">
        <v>111</v>
      </c>
      <c r="B14" s="14">
        <v>8905015104</v>
      </c>
      <c r="C14" s="46">
        <f>1899441098</f>
        <v>1899441098</v>
      </c>
      <c r="D14" s="46">
        <v>56823035</v>
      </c>
      <c r="E14" s="47">
        <f t="shared" si="0"/>
        <v>1956264133</v>
      </c>
      <c r="F14" s="90">
        <v>149597959</v>
      </c>
      <c r="H14" s="60"/>
      <c r="I14" s="60"/>
    </row>
    <row r="15" spans="1:9" ht="15">
      <c r="A15" s="45" t="s">
        <v>112</v>
      </c>
      <c r="B15" s="14">
        <v>8922003239</v>
      </c>
      <c r="C15" s="46">
        <f>940595685</f>
        <v>940595685</v>
      </c>
      <c r="D15" s="46">
        <v>49825817</v>
      </c>
      <c r="E15" s="47">
        <f t="shared" si="0"/>
        <v>990421502</v>
      </c>
      <c r="F15" s="90">
        <v>75738768</v>
      </c>
      <c r="H15" s="60"/>
      <c r="I15" s="60"/>
    </row>
    <row r="16" spans="1:9" ht="15">
      <c r="A16" s="45" t="s">
        <v>113</v>
      </c>
      <c r="B16" s="14">
        <v>8901022573</v>
      </c>
      <c r="C16" s="46">
        <f>5697094938</f>
        <v>5697094938</v>
      </c>
      <c r="D16" s="46">
        <v>17877820</v>
      </c>
      <c r="E16" s="47">
        <f t="shared" si="0"/>
        <v>5714972758</v>
      </c>
      <c r="F16" s="90">
        <v>437031099</v>
      </c>
      <c r="H16" s="60"/>
      <c r="I16" s="60"/>
    </row>
    <row r="17" spans="1:9" ht="15">
      <c r="A17" s="45" t="s">
        <v>114</v>
      </c>
      <c r="B17" s="14">
        <v>8915003192</v>
      </c>
      <c r="C17" s="46">
        <f>4975500354</f>
        <v>4975500354</v>
      </c>
      <c r="D17" s="46">
        <v>18853966</v>
      </c>
      <c r="E17" s="47">
        <f t="shared" si="0"/>
        <v>4994354320</v>
      </c>
      <c r="F17" s="90">
        <v>479596040</v>
      </c>
      <c r="H17" s="60"/>
      <c r="I17" s="60"/>
    </row>
    <row r="18" spans="1:9" ht="15">
      <c r="A18" s="45" t="s">
        <v>115</v>
      </c>
      <c r="B18" s="14">
        <v>8917801118</v>
      </c>
      <c r="C18" s="46">
        <f>2374824105</f>
        <v>2374824105</v>
      </c>
      <c r="D18" s="46">
        <v>51872839</v>
      </c>
      <c r="E18" s="47">
        <f t="shared" si="0"/>
        <v>2426696944</v>
      </c>
      <c r="F18" s="90">
        <v>185572544</v>
      </c>
      <c r="H18" s="60"/>
      <c r="I18" s="60"/>
    </row>
    <row r="19" spans="1:9" ht="15">
      <c r="A19" s="45" t="s">
        <v>116</v>
      </c>
      <c r="B19" s="14">
        <v>8350003004</v>
      </c>
      <c r="C19" s="46">
        <f>622486385</f>
        <v>622486385</v>
      </c>
      <c r="D19" s="46">
        <v>43178098</v>
      </c>
      <c r="E19" s="47">
        <f t="shared" si="0"/>
        <v>665664483</v>
      </c>
      <c r="F19" s="90">
        <v>52868685</v>
      </c>
      <c r="H19" s="60"/>
      <c r="I19" s="60"/>
    </row>
    <row r="20" spans="1:9" ht="15">
      <c r="A20" s="45" t="s">
        <v>117</v>
      </c>
      <c r="B20" s="14">
        <v>8900004328</v>
      </c>
      <c r="C20" s="46">
        <f>2557443588</f>
        <v>2557443588</v>
      </c>
      <c r="D20" s="46">
        <v>49537293</v>
      </c>
      <c r="E20" s="47">
        <f t="shared" si="0"/>
        <v>2606980881</v>
      </c>
      <c r="F20" s="90">
        <v>199359081</v>
      </c>
      <c r="H20" s="60"/>
      <c r="I20" s="60"/>
    </row>
    <row r="21" spans="1:9" ht="15">
      <c r="A21" s="45" t="s">
        <v>118</v>
      </c>
      <c r="B21" s="14">
        <v>8907006407</v>
      </c>
      <c r="C21" s="46">
        <f>2234876433</f>
        <v>2234876433</v>
      </c>
      <c r="D21" s="46">
        <v>49788532</v>
      </c>
      <c r="E21" s="47">
        <f t="shared" si="0"/>
        <v>2284664965</v>
      </c>
      <c r="F21" s="90">
        <v>174710799</v>
      </c>
      <c r="H21" s="60"/>
      <c r="I21" s="60"/>
    </row>
    <row r="22" spans="1:9" ht="15">
      <c r="A22" s="45" t="s">
        <v>119</v>
      </c>
      <c r="B22" s="14">
        <v>8903990106</v>
      </c>
      <c r="C22" s="46">
        <f>11248446676</f>
        <v>11248446676</v>
      </c>
      <c r="D22" s="46">
        <v>34468566</v>
      </c>
      <c r="E22" s="47">
        <f t="shared" si="0"/>
        <v>11282915242</v>
      </c>
      <c r="F22" s="90">
        <v>862818608</v>
      </c>
      <c r="H22" s="60"/>
      <c r="I22" s="60"/>
    </row>
    <row r="23" spans="1:9" ht="15">
      <c r="A23" s="45" t="s">
        <v>120</v>
      </c>
      <c r="B23" s="14">
        <v>8999992307</v>
      </c>
      <c r="C23" s="46">
        <f>887318095</f>
        <v>887318095</v>
      </c>
      <c r="D23" s="46">
        <v>2797670</v>
      </c>
      <c r="E23" s="47">
        <f t="shared" si="0"/>
        <v>890115765</v>
      </c>
      <c r="F23" s="90">
        <v>68068263</v>
      </c>
      <c r="H23" s="60"/>
      <c r="I23" s="60"/>
    </row>
    <row r="24" spans="1:9" ht="15">
      <c r="A24" s="45" t="s">
        <v>121</v>
      </c>
      <c r="B24" s="14">
        <v>8905006226</v>
      </c>
      <c r="C24" s="46">
        <f>1652274771</f>
        <v>1652274771</v>
      </c>
      <c r="D24" s="46">
        <v>55610268</v>
      </c>
      <c r="E24" s="47">
        <f t="shared" si="0"/>
        <v>1707885039</v>
      </c>
      <c r="F24" s="90">
        <v>130604100</v>
      </c>
      <c r="H24" s="60"/>
      <c r="I24" s="60"/>
    </row>
    <row r="25" spans="1:6" ht="15">
      <c r="A25" s="45" t="s">
        <v>122</v>
      </c>
      <c r="B25" s="21">
        <v>8001631300</v>
      </c>
      <c r="C25" s="46">
        <f>631905580</f>
        <v>631905580</v>
      </c>
      <c r="D25" s="46">
        <v>49100801</v>
      </c>
      <c r="E25" s="47">
        <f t="shared" si="0"/>
        <v>681006381</v>
      </c>
      <c r="F25" s="90">
        <v>52077408</v>
      </c>
    </row>
    <row r="26" spans="1:6" ht="15">
      <c r="A26" s="45" t="s">
        <v>123</v>
      </c>
      <c r="B26" s="14">
        <v>8902012134</v>
      </c>
      <c r="C26" s="46">
        <f>5959724991</f>
        <v>5959724991</v>
      </c>
      <c r="D26" s="46">
        <v>18348935</v>
      </c>
      <c r="E26" s="47">
        <f t="shared" si="0"/>
        <v>5978073926</v>
      </c>
      <c r="F26" s="90">
        <v>457150773</v>
      </c>
    </row>
    <row r="27" spans="1:8" ht="15">
      <c r="A27" s="45" t="s">
        <v>124</v>
      </c>
      <c r="B27" s="14">
        <v>8002253408</v>
      </c>
      <c r="C27" s="46">
        <f>593070706</f>
        <v>593070706</v>
      </c>
      <c r="D27" s="46">
        <v>1619354</v>
      </c>
      <c r="E27" s="47">
        <f t="shared" si="0"/>
        <v>594690060</v>
      </c>
      <c r="F27" s="90">
        <v>45540134</v>
      </c>
      <c r="G27" s="68"/>
      <c r="H27" s="68"/>
    </row>
    <row r="28" spans="1:8" ht="15">
      <c r="A28" s="45" t="s">
        <v>125</v>
      </c>
      <c r="B28" s="14">
        <v>8999990633</v>
      </c>
      <c r="C28" s="46">
        <f>31816169687</f>
        <v>31816169687</v>
      </c>
      <c r="D28" s="46">
        <v>132029123</v>
      </c>
      <c r="E28" s="47">
        <f>+C28+D28</f>
        <v>31948198810</v>
      </c>
      <c r="F28" s="90">
        <v>3427472578</v>
      </c>
      <c r="G28" s="68"/>
      <c r="H28" s="68"/>
    </row>
    <row r="29" spans="1:8" ht="15">
      <c r="A29" s="45" t="s">
        <v>126</v>
      </c>
      <c r="B29" s="14">
        <v>8999991244</v>
      </c>
      <c r="C29" s="46">
        <f>3145405352</f>
        <v>3145405352</v>
      </c>
      <c r="D29" s="46">
        <v>9775665</v>
      </c>
      <c r="E29" s="47">
        <f>+C29+D29</f>
        <v>3155181017</v>
      </c>
      <c r="F29" s="90">
        <v>251549631</v>
      </c>
      <c r="G29" s="68"/>
      <c r="H29" s="68"/>
    </row>
    <row r="30" spans="1:8" ht="15">
      <c r="A30" s="45" t="s">
        <v>127</v>
      </c>
      <c r="B30" s="63">
        <v>8918003301</v>
      </c>
      <c r="C30" s="46">
        <f>5968662183</f>
        <v>5968662183</v>
      </c>
      <c r="D30" s="46">
        <v>18404882</v>
      </c>
      <c r="E30" s="47">
        <f>+C30+D30</f>
        <v>5987067065</v>
      </c>
      <c r="F30" s="90">
        <v>478685406</v>
      </c>
      <c r="G30" s="68"/>
      <c r="H30" s="68"/>
    </row>
    <row r="31" spans="1:8" ht="15">
      <c r="A31" s="45" t="s">
        <v>128</v>
      </c>
      <c r="B31" s="14">
        <v>8923002856</v>
      </c>
      <c r="C31" s="46">
        <f>1337270761</f>
        <v>1337270761</v>
      </c>
      <c r="D31" s="46">
        <v>39382919</v>
      </c>
      <c r="E31" s="47">
        <f>+C31+D31</f>
        <v>1376653680</v>
      </c>
      <c r="F31" s="90">
        <v>109387179</v>
      </c>
      <c r="G31" s="68"/>
      <c r="H31" s="68"/>
    </row>
    <row r="32" spans="1:6" ht="15">
      <c r="A32" s="45" t="s">
        <v>129</v>
      </c>
      <c r="B32" s="14">
        <v>8916800894</v>
      </c>
      <c r="C32" s="46">
        <f>2125275089</f>
        <v>2125275089</v>
      </c>
      <c r="D32" s="46">
        <v>68482960</v>
      </c>
      <c r="E32" s="47">
        <f>+C32+D32</f>
        <v>2193758049</v>
      </c>
      <c r="F32" s="90">
        <v>208629332</v>
      </c>
    </row>
    <row r="33" spans="1:6" ht="15">
      <c r="A33" s="45" t="s">
        <v>130</v>
      </c>
      <c r="B33" s="14">
        <v>8911800842</v>
      </c>
      <c r="C33" s="46">
        <f>2594232880</f>
        <v>2594232880</v>
      </c>
      <c r="D33" s="46">
        <v>7967839</v>
      </c>
      <c r="E33" s="47">
        <f>+C33+D33</f>
        <v>2602200719</v>
      </c>
      <c r="F33" s="90">
        <v>374302211</v>
      </c>
    </row>
    <row r="34" spans="1:6" ht="15">
      <c r="A34" s="45" t="s">
        <v>131</v>
      </c>
      <c r="B34" s="14">
        <v>8914800359</v>
      </c>
      <c r="C34" s="46">
        <f>4439153766</f>
        <v>4439153766</v>
      </c>
      <c r="D34" s="46">
        <v>14561204</v>
      </c>
      <c r="E34" s="47">
        <f>+C34+D34</f>
        <v>4453714970</v>
      </c>
      <c r="F34" s="90">
        <v>178786947</v>
      </c>
    </row>
    <row r="35" spans="1:6" ht="24.75">
      <c r="A35" s="45" t="s">
        <v>132</v>
      </c>
      <c r="B35" s="14">
        <v>8605127804</v>
      </c>
      <c r="C35" s="46">
        <f>2014548670</f>
        <v>2014548670</v>
      </c>
      <c r="D35" s="46">
        <v>43160286</v>
      </c>
      <c r="E35" s="47">
        <f>+C35+D35</f>
        <v>2057708956</v>
      </c>
      <c r="F35" s="90">
        <v>164663437</v>
      </c>
    </row>
    <row r="36" spans="1:6" ht="15">
      <c r="A36" s="49" t="s">
        <v>133</v>
      </c>
      <c r="B36" s="50"/>
      <c r="C36" s="51">
        <f>SUM(C3:C35)</f>
        <v>130521137915</v>
      </c>
      <c r="D36" s="51">
        <f>SUM(D3:D35)</f>
        <v>1119731731</v>
      </c>
      <c r="E36" s="51">
        <f>+C36+D36</f>
        <v>131640869646</v>
      </c>
      <c r="F36" s="51">
        <f>SUM(F3:F35)</f>
        <v>11483069106</v>
      </c>
    </row>
    <row r="37" spans="1:6" ht="15">
      <c r="A37" s="52" t="s">
        <v>134</v>
      </c>
      <c r="B37" s="53">
        <v>8918002604</v>
      </c>
      <c r="C37" s="78">
        <v>393245961</v>
      </c>
      <c r="E37" s="47"/>
      <c r="F37" s="68"/>
    </row>
    <row r="38" spans="1:6" ht="15">
      <c r="A38" s="52" t="s">
        <v>135</v>
      </c>
      <c r="B38" s="53">
        <v>8907009060</v>
      </c>
      <c r="C38" s="78">
        <v>63845174</v>
      </c>
      <c r="E38" s="47"/>
      <c r="F38" s="68"/>
    </row>
    <row r="39" spans="1:6" ht="15">
      <c r="A39" s="54" t="s">
        <v>41</v>
      </c>
      <c r="B39" s="53">
        <v>8909801341</v>
      </c>
      <c r="C39" s="78">
        <v>208672338</v>
      </c>
      <c r="E39" s="47"/>
      <c r="F39" s="68"/>
    </row>
    <row r="40" spans="1:6" ht="15">
      <c r="A40" s="54" t="s">
        <v>54</v>
      </c>
      <c r="B40" s="53">
        <v>8915007591</v>
      </c>
      <c r="C40" s="78">
        <v>262777234</v>
      </c>
      <c r="E40" s="47"/>
      <c r="F40" s="68"/>
    </row>
    <row r="41" spans="1:6" ht="15">
      <c r="A41" s="52" t="s">
        <v>136</v>
      </c>
      <c r="B41" s="53">
        <v>8909801501</v>
      </c>
      <c r="C41" s="78">
        <v>128354046</v>
      </c>
      <c r="E41" s="47"/>
      <c r="F41" s="68"/>
    </row>
    <row r="42" spans="1:6" ht="15">
      <c r="A42" s="54" t="s">
        <v>137</v>
      </c>
      <c r="B42" s="53">
        <v>8002479401</v>
      </c>
      <c r="C42" s="78">
        <v>122853105</v>
      </c>
      <c r="E42" s="47"/>
      <c r="F42" s="68"/>
    </row>
    <row r="43" spans="1:6" ht="15">
      <c r="A43" s="54" t="s">
        <v>138</v>
      </c>
      <c r="B43" s="53">
        <v>8917019320</v>
      </c>
      <c r="C43" s="78">
        <v>159276571</v>
      </c>
      <c r="D43" s="59"/>
      <c r="E43" s="47"/>
      <c r="F43" s="68"/>
    </row>
    <row r="44" spans="1:6" ht="15">
      <c r="A44" s="54" t="s">
        <v>139</v>
      </c>
      <c r="B44" s="53">
        <v>8908026784</v>
      </c>
      <c r="C44" s="78">
        <v>128187289</v>
      </c>
      <c r="E44" s="47"/>
      <c r="F44" s="68"/>
    </row>
    <row r="45" spans="1:6" ht="15">
      <c r="A45" s="54" t="s">
        <v>140</v>
      </c>
      <c r="B45" s="53">
        <v>8001240234</v>
      </c>
      <c r="C45" s="78">
        <v>171714544</v>
      </c>
      <c r="E45" s="47"/>
      <c r="F45" s="68"/>
    </row>
    <row r="46" spans="1:6" ht="15">
      <c r="A46" s="54" t="s">
        <v>141</v>
      </c>
      <c r="B46" s="53">
        <v>8909801531</v>
      </c>
      <c r="C46" s="78">
        <v>494392467</v>
      </c>
      <c r="E46" s="47"/>
      <c r="F46" s="68"/>
    </row>
    <row r="47" spans="1:6" ht="15">
      <c r="A47" s="54" t="s">
        <v>81</v>
      </c>
      <c r="B47" s="53">
        <v>8904800545</v>
      </c>
      <c r="C47" s="78">
        <v>207704043</v>
      </c>
      <c r="E47" s="47"/>
      <c r="F47" s="68"/>
    </row>
    <row r="48" spans="1:6" ht="15">
      <c r="A48" s="54" t="s">
        <v>142</v>
      </c>
      <c r="B48" s="53">
        <v>8020110655</v>
      </c>
      <c r="C48" s="78">
        <v>167905996</v>
      </c>
      <c r="E48" s="47"/>
      <c r="F48" s="68"/>
    </row>
    <row r="49" spans="1:6" ht="15">
      <c r="A49" s="54" t="s">
        <v>87</v>
      </c>
      <c r="B49" s="53">
        <v>8905015784</v>
      </c>
      <c r="C49" s="78">
        <v>174590931</v>
      </c>
      <c r="E49" s="47"/>
      <c r="F49" s="68"/>
    </row>
    <row r="50" spans="1:6" ht="15">
      <c r="A50" s="54" t="s">
        <v>88</v>
      </c>
      <c r="B50" s="53">
        <v>8919028110</v>
      </c>
      <c r="C50" s="78">
        <v>222657248</v>
      </c>
      <c r="E50" s="47"/>
      <c r="F50" s="68"/>
    </row>
    <row r="51" spans="1:6" ht="15">
      <c r="A51" s="55"/>
      <c r="B51" s="55"/>
      <c r="C51" s="51">
        <f>SUM(C37:C50)</f>
        <v>2906176947</v>
      </c>
      <c r="E51" s="47"/>
      <c r="F51" s="68"/>
    </row>
    <row r="52" spans="1:6" ht="15">
      <c r="A52" s="55"/>
      <c r="B52" s="55"/>
      <c r="C52" s="47">
        <f>+E36+C51</f>
        <v>134547046593</v>
      </c>
      <c r="E52" s="47"/>
      <c r="F52" s="79">
        <f>+E52-C52</f>
        <v>-134547046593</v>
      </c>
    </row>
    <row r="53" spans="1:6" ht="15">
      <c r="A53" s="55"/>
      <c r="B53" s="55"/>
      <c r="C53" s="62" t="s">
        <v>143</v>
      </c>
      <c r="E53" s="47"/>
      <c r="F53" s="68"/>
    </row>
    <row r="54" spans="1:6" ht="48.75">
      <c r="A54" s="56" t="s">
        <v>144</v>
      </c>
      <c r="B54" s="57">
        <v>8999990633</v>
      </c>
      <c r="C54" s="46">
        <f>10265689102+12832111378</f>
        <v>23097800480</v>
      </c>
      <c r="D54" s="48"/>
      <c r="E54" s="47"/>
      <c r="F54" s="68"/>
    </row>
    <row r="55" spans="1:5" ht="36.75">
      <c r="A55" s="56" t="s">
        <v>145</v>
      </c>
      <c r="B55" s="57">
        <v>8915003192</v>
      </c>
      <c r="C55" s="46">
        <v>1076432590</v>
      </c>
      <c r="D55" s="46"/>
      <c r="E55" s="47"/>
    </row>
    <row r="56" spans="1:5" ht="36.75">
      <c r="A56" s="56" t="s">
        <v>146</v>
      </c>
      <c r="B56" s="58">
        <v>8908010630</v>
      </c>
      <c r="C56" s="46">
        <v>992908558</v>
      </c>
      <c r="D56" s="46"/>
      <c r="E56" s="47"/>
    </row>
    <row r="57" spans="1:5" ht="36.75">
      <c r="A57" s="56" t="s">
        <v>147</v>
      </c>
      <c r="B57" s="58">
        <v>8910800313</v>
      </c>
      <c r="C57" s="46">
        <v>1719875144</v>
      </c>
      <c r="D57" s="46"/>
      <c r="E57" s="47"/>
    </row>
    <row r="58" spans="1:5" ht="48.75">
      <c r="A58" s="56" t="s">
        <v>148</v>
      </c>
      <c r="B58" s="58">
        <v>8916800894</v>
      </c>
      <c r="C58" s="46">
        <v>95786696</v>
      </c>
      <c r="D58" s="46"/>
      <c r="E58" s="47"/>
    </row>
    <row r="59" spans="1:5" ht="49.5" thickBot="1">
      <c r="A59" s="56" t="s">
        <v>149</v>
      </c>
      <c r="B59" s="58">
        <v>8914800359</v>
      </c>
      <c r="C59" s="77">
        <v>264392632</v>
      </c>
      <c r="D59" s="46"/>
      <c r="E59" s="47"/>
    </row>
    <row r="60" spans="1:5" ht="15.75" thickTop="1">
      <c r="A60" s="55"/>
      <c r="B60" s="55"/>
      <c r="C60" s="51">
        <f>SUM(C54:C59)</f>
        <v>27247196100</v>
      </c>
      <c r="E60" s="47"/>
    </row>
    <row r="61" spans="3:6" ht="15">
      <c r="C61" s="51">
        <f>+C60+C36+D36</f>
        <v>158888065746</v>
      </c>
      <c r="E61" s="47"/>
      <c r="F61" s="47"/>
    </row>
    <row r="62" spans="3:5" ht="15">
      <c r="C62" s="47">
        <f>+C61+C51</f>
        <v>161794242693</v>
      </c>
      <c r="E62" s="47"/>
    </row>
    <row r="63" ht="15">
      <c r="C63" s="59"/>
    </row>
    <row r="64" ht="15">
      <c r="C64" s="47">
        <f>+C62+C63</f>
        <v>161794242693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184</v>
      </c>
      <c r="C1" s="8" t="s">
        <v>2</v>
      </c>
      <c r="D1" s="9" t="s">
        <v>3</v>
      </c>
      <c r="E1" t="s">
        <v>156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91</v>
      </c>
      <c r="F2" t="s">
        <v>92</v>
      </c>
      <c r="G2" t="s">
        <v>93</v>
      </c>
      <c r="H2" t="s">
        <v>155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91</v>
      </c>
      <c r="I3" t="s">
        <v>92</v>
      </c>
      <c r="J3" t="s">
        <v>93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1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11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13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160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15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17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18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20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22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24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26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27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28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30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32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34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35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37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38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40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41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43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45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47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49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51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52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53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54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56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58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60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62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64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65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66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68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70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72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1">
        <v>8999990633</v>
      </c>
      <c r="B44" s="14">
        <v>899999063</v>
      </c>
      <c r="C44" s="21">
        <v>27400000</v>
      </c>
      <c r="D44" s="24" t="s">
        <v>73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75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77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79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81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83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7">
        <v>8909801121</v>
      </c>
      <c r="B50" s="14">
        <v>890980112</v>
      </c>
      <c r="C50" s="27">
        <v>218805088</v>
      </c>
      <c r="D50" s="28" t="s">
        <v>85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30">
        <v>8905015784</v>
      </c>
      <c r="B51" s="14">
        <v>890501578</v>
      </c>
      <c r="C51" s="31"/>
      <c r="D51" s="32" t="s">
        <v>87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30">
        <v>8919028110</v>
      </c>
      <c r="B52" s="14">
        <v>891902811</v>
      </c>
      <c r="C52" s="76">
        <v>824376000</v>
      </c>
      <c r="D52" s="32" t="s">
        <v>88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37</v>
      </c>
    </row>
    <row r="2" ht="15">
      <c r="A2" s="15" t="s">
        <v>45</v>
      </c>
    </row>
    <row r="3" ht="15">
      <c r="A3" s="15" t="s">
        <v>52</v>
      </c>
    </row>
    <row r="4" ht="15">
      <c r="A4" s="15" t="s">
        <v>53</v>
      </c>
    </row>
    <row r="5" ht="15">
      <c r="A5" s="15" t="s">
        <v>56</v>
      </c>
    </row>
    <row r="6" ht="15">
      <c r="A6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2013-01-28T22:31:33Z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