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20" windowHeight="42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<sst xmlns="http://schemas.openxmlformats.org/spreadsheetml/2006/main" count="155" uniqueCount="89">
  <si>
    <t>2% ICFES</t>
  </si>
  <si>
    <t>TOTAL UNIV. NALES</t>
  </si>
  <si>
    <t xml:space="preserve"> </t>
  </si>
  <si>
    <t>TOTAL UNIV. DEPTALES</t>
  </si>
  <si>
    <t>GRAN TOTAL</t>
  </si>
  <si>
    <t>S.S.F</t>
  </si>
  <si>
    <t>GIRO ENERO</t>
  </si>
  <si>
    <t>MENOS S.S.F.</t>
  </si>
  <si>
    <t>APROP. DEF. CON SF</t>
  </si>
  <si>
    <t>APROP. DEF. CON SF.</t>
  </si>
  <si>
    <t>APROP. INICIAL</t>
  </si>
  <si>
    <t>S.S.F.</t>
  </si>
  <si>
    <t>DEL CAUCA</t>
  </si>
  <si>
    <t>PEDAGOGICA</t>
  </si>
  <si>
    <t>CALDAS</t>
  </si>
  <si>
    <t>TUNJA</t>
  </si>
  <si>
    <t>CORDOBA</t>
  </si>
  <si>
    <t>TECNOL. CHOCO</t>
  </si>
  <si>
    <t>LLANOS</t>
  </si>
  <si>
    <t>TECNOL. PEREIRA</t>
  </si>
  <si>
    <t xml:space="preserve">SURCOLOMBIANA </t>
  </si>
  <si>
    <t>AMAZONIA</t>
  </si>
  <si>
    <t>COL. MAYOR C/MARCA</t>
  </si>
  <si>
    <t>PACIFICO</t>
  </si>
  <si>
    <t>POP. CESAR AGUACHICA</t>
  </si>
  <si>
    <t>ANTIOQUIA</t>
  </si>
  <si>
    <t>CARTAGENA</t>
  </si>
  <si>
    <t xml:space="preserve">NARIÑO </t>
  </si>
  <si>
    <t>ATLANTICO</t>
  </si>
  <si>
    <t>QUINDIO</t>
  </si>
  <si>
    <t>TOLIMA</t>
  </si>
  <si>
    <t>VALLE</t>
  </si>
  <si>
    <t>FCO. JOSE DE CALDAS</t>
  </si>
  <si>
    <t>INDUST. SAN/DER</t>
  </si>
  <si>
    <t>TECNOL. MAGDA.</t>
  </si>
  <si>
    <t>FCO.PAUL.SADER-CUCUTA</t>
  </si>
  <si>
    <t>FCO.PAUL.SADER-OCAÑA</t>
  </si>
  <si>
    <t>SUCRE</t>
  </si>
  <si>
    <t>VALLE DEL C. TULUA</t>
  </si>
  <si>
    <t>GUAJIRA</t>
  </si>
  <si>
    <t>UNINAL DE COLOMBIA</t>
  </si>
  <si>
    <t>UNIV. SURCOLOMBIANA</t>
  </si>
  <si>
    <t>TOTAL SERVICIO DEUDA</t>
  </si>
  <si>
    <t>UNIVER. NACIONALES</t>
  </si>
  <si>
    <t>UNIVER. NUEVA GRANADA</t>
  </si>
  <si>
    <t>CUNDINAMARCA</t>
  </si>
  <si>
    <t>PAMPLONA</t>
  </si>
  <si>
    <t>UNIV. DEPTALES</t>
  </si>
  <si>
    <t>APROP.DEF. CON S.F.</t>
  </si>
  <si>
    <t>SERVICIO DEUDA U.NALES</t>
  </si>
  <si>
    <t>NETO ENERO</t>
  </si>
  <si>
    <t>POPULAR DEL CESAR</t>
  </si>
  <si>
    <t>SALDO APROPIACION</t>
  </si>
  <si>
    <t>ENERO</t>
  </si>
  <si>
    <t>UNIVERSIDADES NACIONALES Y DEPARTAMENTALES VIGENCIA 2005</t>
  </si>
  <si>
    <t>NETO FEBRERO</t>
  </si>
  <si>
    <t>GIRO FEBRERO</t>
  </si>
  <si>
    <t>FEBRERO</t>
  </si>
  <si>
    <t xml:space="preserve">2% ICFES </t>
  </si>
  <si>
    <t>NETO MARZO</t>
  </si>
  <si>
    <t>MARZO</t>
  </si>
  <si>
    <t>ABRIL</t>
  </si>
  <si>
    <t>NETO ABRIL</t>
  </si>
  <si>
    <t>MAYO</t>
  </si>
  <si>
    <t>NETO MAYO</t>
  </si>
  <si>
    <t>JUNIO</t>
  </si>
  <si>
    <t>NETO JUNIO</t>
  </si>
  <si>
    <t>JULIO</t>
  </si>
  <si>
    <t>RESOLUCION 2516</t>
  </si>
  <si>
    <t>%</t>
  </si>
  <si>
    <t xml:space="preserve">AGOSTO </t>
  </si>
  <si>
    <t>AGOSTO</t>
  </si>
  <si>
    <t>SEPTIEMBRE</t>
  </si>
  <si>
    <t>NETO SEPT.</t>
  </si>
  <si>
    <t>NETO AGOSTO</t>
  </si>
  <si>
    <t>OCTUBRE</t>
  </si>
  <si>
    <t>NETO OCTUBRE</t>
  </si>
  <si>
    <t>NOVIEMBRE</t>
  </si>
  <si>
    <t>NETO NOV.</t>
  </si>
  <si>
    <t>DICIEMBRE</t>
  </si>
  <si>
    <t>NETO DICIEMBRE</t>
  </si>
  <si>
    <t>TOTAL DIC.</t>
  </si>
  <si>
    <t>RESOLUCION 4949</t>
  </si>
  <si>
    <t>CUOTA CONTR.</t>
  </si>
  <si>
    <t>TOTAL RES. 4949</t>
  </si>
  <si>
    <t>RESOLUCION 4949 Y  4923 UNIPACIFICO</t>
  </si>
  <si>
    <t>RESOLUCION 6189</t>
  </si>
  <si>
    <t>SALDO APROP.</t>
  </si>
  <si>
    <t>NETO JULIO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</si>
</sst>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$&quot;_);\(#,##0&quot;$&quot;\)"/>
    <numFmt numFmtId="165" formatCode="#,##0&quot;$&quot;_);[Red]\(#,##0&quot;$&quot;\)"/>
    <numFmt numFmtId="166" formatCode="#,##0.00&quot;$&quot;_);\(#,##0.00&quot;$&quot;\)"/>
    <numFmt numFmtId="167" formatCode="#,##0.00&quot;$&quot;_);[Red]\(#,##0.00&quot;$&quot;\)"/>
    <numFmt numFmtId="168" formatCode="_ * #,##0_)&quot;$&quot;_ ;_ * \(#,##0\)&quot;$&quot;_ ;_ * &quot;-&quot;_)&quot;$&quot;_ ;_ @_ "/>
    <numFmt numFmtId="169" formatCode="_ * #,##0_)_$_ ;_ * \(#,##0\)_$_ ;_ * &quot;-&quot;_)_$_ ;_ @_ "/>
    <numFmt numFmtId="170" formatCode="_ * #,##0.00_)&quot;$&quot;_ ;_ * \(#,##0.00\)&quot;$&quot;_ ;_ * &quot;-&quot;??_)&quot;$&quot;_ ;_ @_ "/>
    <numFmt numFmtId="171" formatCode="_ * #,##0.00_)_$_ ;_ * \(#,##0.00\)_$_ ;_ * &quot;-&quot;??_)_$_ ;_ @_ 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_ * #,##0_)_$_ ;_ * \(#,##0\)_$_ ;_ * &quot;-&quot;??_)_$_ ;_ @_ "/>
    <numFmt numFmtId="179" formatCode="_ * #,##0.0_)_$_ ;_ * \(#,##0.0\)_$_ ;_ * &quot;-&quot;??_)_$_ ;_ @_ "/>
    <numFmt numFmtId="180" formatCode="_(* #,##0.0_);_(* \(#,##0.0\);_(* &quot;-&quot;??_);_(@_)"/>
    <numFmt numFmtId="181" formatCode="_(* #,##0_);_(* \(#,##0\);_(* &quot;-&quot;??_);_(@_)"/>
    <numFmt numFmtId="182" formatCode="0_);\(0\)"/>
    <numFmt numFmtId="183" formatCode="0.00_);\(0.00\)"/>
    <numFmt numFmtId="184" formatCode="#,##0_ ;\-#,##0\ "/>
    <numFmt numFmtId="185" formatCode="#,##0.000"/>
    <numFmt numFmtId="186" formatCode="#,##0.0"/>
    <numFmt numFmtId="187" formatCode="&quot;$&quot;#,##0.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wrapText="1" shrinkToFit="1"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1" xfId="19" applyNumberFormat="1" applyFont="1" applyBorder="1" applyAlignment="1">
      <alignment/>
    </xf>
    <xf numFmtId="3" fontId="4" fillId="0" borderId="2" xfId="19" applyNumberFormat="1" applyFont="1" applyBorder="1" applyAlignment="1">
      <alignment/>
    </xf>
    <xf numFmtId="3" fontId="4" fillId="0" borderId="3" xfId="19" applyNumberFormat="1" applyFont="1" applyBorder="1" applyAlignment="1">
      <alignment/>
    </xf>
    <xf numFmtId="3" fontId="4" fillId="0" borderId="4" xfId="19" applyNumberFormat="1" applyFont="1" applyBorder="1" applyAlignment="1">
      <alignment/>
    </xf>
    <xf numFmtId="3" fontId="4" fillId="0" borderId="5" xfId="19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3" fillId="2" borderId="1" xfId="0" applyNumberFormat="1" applyFont="1" applyFill="1" applyBorder="1" applyAlignment="1">
      <alignment horizontal="center" wrapText="1" shrinkToFit="1"/>
    </xf>
    <xf numFmtId="3" fontId="4" fillId="0" borderId="5" xfId="0" applyNumberFormat="1" applyFont="1" applyBorder="1" applyAlignment="1">
      <alignment/>
    </xf>
    <xf numFmtId="3" fontId="3" fillId="0" borderId="2" xfId="19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3" fillId="0" borderId="4" xfId="19" applyNumberFormat="1" applyFont="1" applyBorder="1" applyAlignment="1">
      <alignment/>
    </xf>
    <xf numFmtId="0" fontId="3" fillId="3" borderId="6" xfId="0" applyFont="1" applyFill="1" applyBorder="1" applyAlignment="1">
      <alignment horizontal="center" wrapText="1"/>
    </xf>
    <xf numFmtId="3" fontId="3" fillId="3" borderId="7" xfId="0" applyNumberFormat="1" applyFont="1" applyFill="1" applyBorder="1" applyAlignment="1">
      <alignment wrapText="1"/>
    </xf>
    <xf numFmtId="3" fontId="3" fillId="3" borderId="7" xfId="19" applyNumberFormat="1" applyFont="1" applyFill="1" applyBorder="1" applyAlignment="1">
      <alignment horizontal="center" wrapText="1"/>
    </xf>
    <xf numFmtId="3" fontId="3" fillId="3" borderId="8" xfId="0" applyNumberFormat="1" applyFont="1" applyFill="1" applyBorder="1" applyAlignment="1">
      <alignment horizontal="center" wrapText="1"/>
    </xf>
    <xf numFmtId="3" fontId="4" fillId="0" borderId="9" xfId="19" applyNumberFormat="1" applyFont="1" applyBorder="1" applyAlignment="1">
      <alignment/>
    </xf>
    <xf numFmtId="3" fontId="3" fillId="0" borderId="10" xfId="19" applyNumberFormat="1" applyFont="1" applyBorder="1" applyAlignment="1">
      <alignment/>
    </xf>
    <xf numFmtId="4" fontId="3" fillId="0" borderId="11" xfId="19" applyNumberFormat="1" applyFont="1" applyBorder="1" applyAlignment="1">
      <alignment/>
    </xf>
    <xf numFmtId="3" fontId="3" fillId="2" borderId="12" xfId="0" applyNumberFormat="1" applyFont="1" applyFill="1" applyBorder="1" applyAlignment="1">
      <alignment horizontal="center" wrapText="1" shrinkToFit="1"/>
    </xf>
    <xf numFmtId="3" fontId="4" fillId="0" borderId="13" xfId="19" applyNumberFormat="1" applyFont="1" applyBorder="1" applyAlignment="1">
      <alignment/>
    </xf>
    <xf numFmtId="3" fontId="4" fillId="0" borderId="14" xfId="19" applyNumberFormat="1" applyFont="1" applyBorder="1" applyAlignment="1">
      <alignment/>
    </xf>
    <xf numFmtId="3" fontId="4" fillId="0" borderId="15" xfId="19" applyNumberFormat="1" applyFont="1" applyBorder="1" applyAlignment="1">
      <alignment/>
    </xf>
    <xf numFmtId="4" fontId="4" fillId="0" borderId="16" xfId="19" applyNumberFormat="1" applyFont="1" applyBorder="1" applyAlignment="1">
      <alignment horizontal="right"/>
    </xf>
    <xf numFmtId="4" fontId="4" fillId="0" borderId="17" xfId="19" applyNumberFormat="1" applyFont="1" applyBorder="1" applyAlignment="1">
      <alignment horizontal="right"/>
    </xf>
    <xf numFmtId="4" fontId="4" fillId="0" borderId="18" xfId="19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3" fontId="4" fillId="0" borderId="19" xfId="19" applyNumberFormat="1" applyFont="1" applyBorder="1" applyAlignment="1">
      <alignment/>
    </xf>
    <xf numFmtId="3" fontId="4" fillId="0" borderId="20" xfId="19" applyNumberFormat="1" applyFont="1" applyBorder="1" applyAlignment="1">
      <alignment/>
    </xf>
    <xf numFmtId="0" fontId="3" fillId="2" borderId="10" xfId="0" applyFont="1" applyFill="1" applyBorder="1" applyAlignment="1">
      <alignment horizontal="center" wrapText="1" shrinkToFit="1"/>
    </xf>
    <xf numFmtId="3" fontId="3" fillId="3" borderId="21" xfId="0" applyNumberFormat="1" applyFont="1" applyFill="1" applyBorder="1" applyAlignment="1">
      <alignment horizontal="center" wrapText="1"/>
    </xf>
    <xf numFmtId="3" fontId="3" fillId="0" borderId="10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3" fillId="2" borderId="12" xfId="0" applyFont="1" applyFill="1" applyBorder="1" applyAlignment="1">
      <alignment horizontal="center" wrapText="1"/>
    </xf>
    <xf numFmtId="0" fontId="3" fillId="0" borderId="28" xfId="0" applyFont="1" applyBorder="1" applyAlignment="1">
      <alignment horizontal="center"/>
    </xf>
    <xf numFmtId="0" fontId="3" fillId="2" borderId="29" xfId="0" applyFont="1" applyFill="1" applyBorder="1" applyAlignment="1">
      <alignment horizontal="center" wrapText="1"/>
    </xf>
    <xf numFmtId="9" fontId="4" fillId="0" borderId="30" xfId="22" applyFont="1" applyBorder="1" applyAlignment="1">
      <alignment horizontal="center"/>
    </xf>
    <xf numFmtId="9" fontId="4" fillId="0" borderId="31" xfId="22" applyFont="1" applyBorder="1" applyAlignment="1">
      <alignment horizontal="center"/>
    </xf>
    <xf numFmtId="9" fontId="4" fillId="0" borderId="1" xfId="22" applyFont="1" applyBorder="1" applyAlignment="1">
      <alignment horizontal="center"/>
    </xf>
    <xf numFmtId="3" fontId="3" fillId="3" borderId="29" xfId="0" applyNumberFormat="1" applyFont="1" applyFill="1" applyBorder="1" applyAlignment="1">
      <alignment horizontal="center" wrapText="1"/>
    </xf>
    <xf numFmtId="3" fontId="3" fillId="0" borderId="31" xfId="0" applyNumberFormat="1" applyFont="1" applyBorder="1" applyAlignment="1">
      <alignment/>
    </xf>
    <xf numFmtId="0" fontId="4" fillId="0" borderId="32" xfId="0" applyFont="1" applyBorder="1" applyAlignment="1">
      <alignment/>
    </xf>
    <xf numFmtId="3" fontId="4" fillId="0" borderId="14" xfId="0" applyNumberFormat="1" applyFont="1" applyBorder="1" applyAlignment="1">
      <alignment/>
    </xf>
    <xf numFmtId="0" fontId="3" fillId="0" borderId="33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4" fillId="2" borderId="1" xfId="0" applyFont="1" applyFill="1" applyBorder="1" applyAlignment="1">
      <alignment/>
    </xf>
    <xf numFmtId="0" fontId="3" fillId="2" borderId="33" xfId="0" applyFont="1" applyFill="1" applyBorder="1" applyAlignment="1">
      <alignment horizontal="center" wrapText="1" shrinkToFit="1"/>
    </xf>
    <xf numFmtId="3" fontId="4" fillId="0" borderId="19" xfId="19" applyNumberFormat="1" applyFont="1" applyBorder="1" applyAlignment="1">
      <alignment horizontal="right"/>
    </xf>
    <xf numFmtId="3" fontId="3" fillId="0" borderId="10" xfId="19" applyNumberFormat="1" applyFont="1" applyBorder="1" applyAlignment="1">
      <alignment horizontal="right"/>
    </xf>
    <xf numFmtId="0" fontId="5" fillId="2" borderId="12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36" xfId="0" applyFont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Hoja1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45"/>
  <sheetViews>
    <sheetView tabSelected="1" workbookViewId="0" topLeftCell="A2">
      <pane xSplit="1" ySplit="2" topLeftCell="AR4" activePane="bottomRight" state="frozen"/>
      <selection pane="topLeft" activeCell="A2" sqref="A2"/>
      <selection pane="topRight" activeCell="B2" sqref="B2"/>
      <selection pane="bottomLeft" activeCell="A4" sqref="A4"/>
      <selection pane="bottomRight" activeCell="B4" sqref="B4"/>
    </sheetView>
  </sheetViews>
  <sheetFormatPr defaultColWidth="11.421875" defaultRowHeight="12.75"/>
  <cols>
    <col min="1" max="1" width="25.28125" style="42" customWidth="1"/>
    <col min="2" max="2" width="15.7109375" style="30" bestFit="1" customWidth="1"/>
    <col min="3" max="3" width="12.28125" style="30" bestFit="1" customWidth="1"/>
    <col min="4" max="4" width="16.28125" style="30" bestFit="1" customWidth="1"/>
    <col min="5" max="5" width="16.28125" style="30" customWidth="1"/>
    <col min="6" max="6" width="13.28125" style="30" bestFit="1" customWidth="1"/>
    <col min="7" max="7" width="15.00390625" style="30" bestFit="1" customWidth="1"/>
    <col min="8" max="8" width="16.28125" style="30" customWidth="1"/>
    <col min="9" max="9" width="18.140625" style="30" bestFit="1" customWidth="1"/>
    <col min="10" max="10" width="13.28125" style="30" bestFit="1" customWidth="1"/>
    <col min="11" max="11" width="15.7109375" style="30" bestFit="1" customWidth="1"/>
    <col min="12" max="12" width="12.28125" style="30" bestFit="1" customWidth="1"/>
    <col min="13" max="13" width="13.28125" style="30" bestFit="1" customWidth="1"/>
    <col min="14" max="14" width="14.28125" style="30" bestFit="1" customWidth="1"/>
    <col min="15" max="15" width="12.28125" style="30" bestFit="1" customWidth="1"/>
    <col min="16" max="17" width="14.28125" style="30" bestFit="1" customWidth="1"/>
    <col min="18" max="18" width="12.28125" style="30" bestFit="1" customWidth="1"/>
    <col min="19" max="19" width="14.28125" style="30" bestFit="1" customWidth="1"/>
    <col min="20" max="20" width="13.28125" style="30" bestFit="1" customWidth="1"/>
    <col min="21" max="21" width="12.28125" style="30" bestFit="1" customWidth="1"/>
    <col min="22" max="23" width="13.28125" style="30" bestFit="1" customWidth="1"/>
    <col min="24" max="24" width="12.28125" style="30" bestFit="1" customWidth="1"/>
    <col min="25" max="25" width="13.28125" style="30" bestFit="1" customWidth="1"/>
    <col min="26" max="30" width="14.8515625" style="30" customWidth="1"/>
    <col min="31" max="37" width="14.7109375" style="30" customWidth="1"/>
    <col min="38" max="38" width="17.7109375" style="30" customWidth="1"/>
    <col min="39" max="46" width="14.7109375" style="30" customWidth="1"/>
    <col min="47" max="47" width="15.7109375" style="30" bestFit="1" customWidth="1"/>
    <col min="48" max="48" width="13.140625" style="30" customWidth="1"/>
    <col min="49" max="49" width="5.57421875" style="51" bestFit="1" customWidth="1"/>
    <col min="50" max="16384" width="11.421875" style="30" customWidth="1"/>
  </cols>
  <sheetData>
    <row r="1" spans="1:53" s="36" customFormat="1" ht="13.5" thickBot="1" thickTop="1">
      <c r="A1" s="61" t="s">
        <v>54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44"/>
      <c r="AX1" s="42"/>
      <c r="AY1" s="30"/>
      <c r="AZ1" s="30"/>
      <c r="BA1" s="30"/>
    </row>
    <row r="2" spans="1:49" ht="24" thickBot="1" thickTop="1">
      <c r="A2" s="53"/>
      <c r="B2" s="54"/>
      <c r="C2" s="54"/>
      <c r="D2" s="54"/>
      <c r="E2" s="60" t="s">
        <v>85</v>
      </c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5"/>
    </row>
    <row r="3" spans="1:49" s="37" customFormat="1" ht="13.5" customHeight="1" thickBot="1" thickTop="1">
      <c r="A3" s="43" t="s">
        <v>43</v>
      </c>
      <c r="B3" s="43" t="s">
        <v>10</v>
      </c>
      <c r="C3" s="43" t="s">
        <v>7</v>
      </c>
      <c r="D3" s="43" t="s">
        <v>68</v>
      </c>
      <c r="E3" s="56"/>
      <c r="F3" s="43" t="s">
        <v>83</v>
      </c>
      <c r="G3" s="43" t="s">
        <v>84</v>
      </c>
      <c r="H3" s="43" t="s">
        <v>86</v>
      </c>
      <c r="I3" s="43" t="s">
        <v>9</v>
      </c>
      <c r="J3" s="43" t="s">
        <v>0</v>
      </c>
      <c r="K3" s="43" t="s">
        <v>6</v>
      </c>
      <c r="L3" s="43" t="s">
        <v>0</v>
      </c>
      <c r="M3" s="43" t="s">
        <v>50</v>
      </c>
      <c r="N3" s="43" t="s">
        <v>56</v>
      </c>
      <c r="O3" s="43" t="s">
        <v>0</v>
      </c>
      <c r="P3" s="43" t="s">
        <v>55</v>
      </c>
      <c r="Q3" s="43" t="s">
        <v>60</v>
      </c>
      <c r="R3" s="43" t="s">
        <v>58</v>
      </c>
      <c r="S3" s="43" t="s">
        <v>59</v>
      </c>
      <c r="T3" s="43" t="s">
        <v>61</v>
      </c>
      <c r="U3" s="43" t="s">
        <v>0</v>
      </c>
      <c r="V3" s="43" t="s">
        <v>62</v>
      </c>
      <c r="W3" s="43" t="s">
        <v>63</v>
      </c>
      <c r="X3" s="43" t="s">
        <v>0</v>
      </c>
      <c r="Y3" s="43" t="s">
        <v>64</v>
      </c>
      <c r="Z3" s="43" t="s">
        <v>65</v>
      </c>
      <c r="AA3" s="43" t="s">
        <v>0</v>
      </c>
      <c r="AB3" s="43" t="s">
        <v>66</v>
      </c>
      <c r="AC3" s="43" t="s">
        <v>67</v>
      </c>
      <c r="AD3" s="43" t="s">
        <v>0</v>
      </c>
      <c r="AE3" s="43" t="s">
        <v>88</v>
      </c>
      <c r="AF3" s="43" t="s">
        <v>70</v>
      </c>
      <c r="AG3" s="43" t="s">
        <v>0</v>
      </c>
      <c r="AH3" s="43" t="s">
        <v>74</v>
      </c>
      <c r="AI3" s="43" t="s">
        <v>72</v>
      </c>
      <c r="AJ3" s="43" t="s">
        <v>0</v>
      </c>
      <c r="AK3" s="43" t="s">
        <v>73</v>
      </c>
      <c r="AL3" s="43" t="s">
        <v>75</v>
      </c>
      <c r="AM3" s="43" t="s">
        <v>0</v>
      </c>
      <c r="AN3" s="43" t="s">
        <v>76</v>
      </c>
      <c r="AO3" s="43" t="s">
        <v>77</v>
      </c>
      <c r="AP3" s="43" t="s">
        <v>0</v>
      </c>
      <c r="AQ3" s="43" t="s">
        <v>78</v>
      </c>
      <c r="AR3" s="43" t="s">
        <v>79</v>
      </c>
      <c r="AS3" s="43" t="s">
        <v>0</v>
      </c>
      <c r="AT3" s="43" t="s">
        <v>80</v>
      </c>
      <c r="AU3" s="43" t="s">
        <v>81</v>
      </c>
      <c r="AV3" s="57" t="s">
        <v>87</v>
      </c>
      <c r="AW3" s="45"/>
    </row>
    <row r="4" spans="1:49" ht="12.75" thickTop="1">
      <c r="A4" s="38" t="s">
        <v>40</v>
      </c>
      <c r="B4" s="9">
        <v>284214154348</v>
      </c>
      <c r="C4" s="5">
        <v>875767143</v>
      </c>
      <c r="D4" s="20">
        <v>6178547811</v>
      </c>
      <c r="E4" s="31">
        <v>18535643433</v>
      </c>
      <c r="F4" s="31">
        <v>0</v>
      </c>
      <c r="G4" s="31">
        <f>E4-F4</f>
        <v>18535643433</v>
      </c>
      <c r="H4" s="31">
        <v>436756075</v>
      </c>
      <c r="I4" s="25">
        <f>B4-C4+D4+G4+H4</f>
        <v>308489334524</v>
      </c>
      <c r="J4" s="25">
        <f>I4*2%</f>
        <v>6169786690.4800005</v>
      </c>
      <c r="K4" s="27">
        <f>17000303232+1894718702</f>
        <v>18895021934</v>
      </c>
      <c r="L4" s="5">
        <f>K4*2%</f>
        <v>377900438.68</v>
      </c>
      <c r="M4" s="5">
        <f>K4-L4</f>
        <v>18517121495.32</v>
      </c>
      <c r="N4" s="5">
        <v>35247295368</v>
      </c>
      <c r="O4" s="25">
        <f>N4*2%</f>
        <v>704945907.36</v>
      </c>
      <c r="P4" s="5">
        <f>N4-O4</f>
        <v>34542349460.64</v>
      </c>
      <c r="Q4" s="25">
        <v>21414585953</v>
      </c>
      <c r="R4" s="25">
        <f>Q4*2%</f>
        <v>428291719.06</v>
      </c>
      <c r="S4" s="25">
        <f>Q4-R4</f>
        <v>20986294233.94</v>
      </c>
      <c r="T4" s="25">
        <v>0</v>
      </c>
      <c r="U4" s="25"/>
      <c r="V4" s="25"/>
      <c r="W4" s="25">
        <v>19000000000</v>
      </c>
      <c r="X4" s="25">
        <f>W4*2%</f>
        <v>380000000</v>
      </c>
      <c r="Y4" s="25">
        <f>W4-X4</f>
        <v>18620000000</v>
      </c>
      <c r="Z4" s="25">
        <f>14000000000+21000000000</f>
        <v>35000000000</v>
      </c>
      <c r="AA4" s="25">
        <f>Z4*2%</f>
        <v>700000000</v>
      </c>
      <c r="AB4" s="25">
        <f>Z4-AA4</f>
        <v>34300000000</v>
      </c>
      <c r="AC4" s="25">
        <f>18895021934+4633910858</f>
        <v>23528932792</v>
      </c>
      <c r="AD4" s="25">
        <f>AC4*2%</f>
        <v>470578655.84000003</v>
      </c>
      <c r="AE4" s="25">
        <f>AC4-AD4</f>
        <v>23058354136.16</v>
      </c>
      <c r="AF4" s="25">
        <f>18895021934+926782172</f>
        <v>19821804106</v>
      </c>
      <c r="AG4" s="25">
        <f>AF4*2%</f>
        <v>396436082.12</v>
      </c>
      <c r="AH4" s="25">
        <f>AF4-AG4</f>
        <v>19425368023.88</v>
      </c>
      <c r="AI4" s="25">
        <f>18895021934</f>
        <v>18895021934</v>
      </c>
      <c r="AJ4" s="25">
        <f>AI4*2%</f>
        <v>377900438.68</v>
      </c>
      <c r="AK4" s="25">
        <f>AI4-AJ4</f>
        <v>18517121495.32</v>
      </c>
      <c r="AL4" s="25">
        <v>45225206676</v>
      </c>
      <c r="AM4" s="25">
        <f>AL4*2%</f>
        <v>904504133.52</v>
      </c>
      <c r="AN4" s="25">
        <f>AL4-AM4</f>
        <v>44320702542.48</v>
      </c>
      <c r="AO4" s="25">
        <f>20988028682+617854781</f>
        <v>21605883463</v>
      </c>
      <c r="AP4" s="25">
        <f>AO4*2%</f>
        <v>432117669.26</v>
      </c>
      <c r="AQ4" s="25">
        <f>AO4-AP4</f>
        <v>21173765793.74</v>
      </c>
      <c r="AR4" s="25">
        <f>30883182790+18535643433+436756075</f>
        <v>49855582298</v>
      </c>
      <c r="AS4" s="25">
        <f>AR4*2%</f>
        <v>997111645.96</v>
      </c>
      <c r="AT4" s="25">
        <f>AR4-AS4</f>
        <v>48858470652.04</v>
      </c>
      <c r="AU4" s="25">
        <f>K4+N4+Q4+T4+W4+Z4+AC4+AF4+AI4+AL4+AO4+AR4</f>
        <v>308489334524</v>
      </c>
      <c r="AV4" s="58">
        <f aca="true" t="shared" si="0" ref="AV4:AV20">I4-AU4</f>
        <v>0</v>
      </c>
      <c r="AW4" s="46">
        <f>AU4/I4</f>
        <v>1</v>
      </c>
    </row>
    <row r="5" spans="1:49" ht="12">
      <c r="A5" s="39" t="s">
        <v>40</v>
      </c>
      <c r="B5" s="10">
        <v>115450836511</v>
      </c>
      <c r="C5" s="6"/>
      <c r="D5" s="10"/>
      <c r="E5" s="10"/>
      <c r="F5" s="10">
        <v>0</v>
      </c>
      <c r="G5" s="31">
        <f aca="true" t="shared" si="1" ref="G5:G20">E5-F5</f>
        <v>0</v>
      </c>
      <c r="H5" s="31"/>
      <c r="I5" s="25">
        <f aca="true" t="shared" si="2" ref="I5:I20">B5-C5+D5+G5+H5</f>
        <v>115450836511</v>
      </c>
      <c r="J5" s="6">
        <f aca="true" t="shared" si="3" ref="J5:J20">I5*2%</f>
        <v>2309016730.2200003</v>
      </c>
      <c r="K5" s="28">
        <f>6927050191+772047452</f>
        <v>7699097643</v>
      </c>
      <c r="L5" s="6">
        <f aca="true" t="shared" si="4" ref="L5:L20">K5*2%</f>
        <v>153981952.86</v>
      </c>
      <c r="M5" s="6">
        <f aca="true" t="shared" si="5" ref="M5:M21">K5-L5</f>
        <v>7545115690.14</v>
      </c>
      <c r="N5" s="6">
        <v>14362084062</v>
      </c>
      <c r="O5" s="6">
        <f aca="true" t="shared" si="6" ref="O5:O20">N5*2%</f>
        <v>287241681.24</v>
      </c>
      <c r="P5" s="6">
        <f>N5-O5</f>
        <v>14074842380.76</v>
      </c>
      <c r="Q5" s="25">
        <v>8725708031</v>
      </c>
      <c r="R5" s="25">
        <f aca="true" t="shared" si="7" ref="R5:R20">Q5*2%</f>
        <v>174514160.62</v>
      </c>
      <c r="S5" s="25">
        <f aca="true" t="shared" si="8" ref="S5:S20">Q5-R5</f>
        <v>8551193870.38</v>
      </c>
      <c r="T5" s="25">
        <v>10325400000</v>
      </c>
      <c r="U5" s="25">
        <f>T5*2%</f>
        <v>206508000</v>
      </c>
      <c r="V5" s="25">
        <f>T5-U5</f>
        <v>10118892000</v>
      </c>
      <c r="W5" s="25">
        <v>7696722434</v>
      </c>
      <c r="X5" s="25">
        <f>W5*2%</f>
        <v>153934448.68</v>
      </c>
      <c r="Y5" s="25">
        <f>W5-X5</f>
        <v>7542787985.32</v>
      </c>
      <c r="Z5" s="25">
        <f>13000000000+8466580125</f>
        <v>21466580125</v>
      </c>
      <c r="AA5" s="25">
        <f aca="true" t="shared" si="9" ref="AA5:AA20">Z5*2%</f>
        <v>429331602.5</v>
      </c>
      <c r="AB5" s="25">
        <f aca="true" t="shared" si="10" ref="AB5:AB20">Z5-AA5</f>
        <v>21037248522.5</v>
      </c>
      <c r="AC5" s="25">
        <v>7696722434</v>
      </c>
      <c r="AD5" s="25">
        <f aca="true" t="shared" si="11" ref="AD5:AD20">AC5*2%</f>
        <v>153934448.68</v>
      </c>
      <c r="AE5" s="25">
        <f aca="true" t="shared" si="12" ref="AE5:AE21">AC5-AD5</f>
        <v>7542787985.32</v>
      </c>
      <c r="AF5" s="25">
        <v>7696722434</v>
      </c>
      <c r="AG5" s="25">
        <f aca="true" t="shared" si="13" ref="AG5:AG20">AF5*2%</f>
        <v>153934448.68</v>
      </c>
      <c r="AH5" s="25">
        <f aca="true" t="shared" si="14" ref="AH5:AH20">AF5-AG5</f>
        <v>7542787985.32</v>
      </c>
      <c r="AI5" s="25">
        <v>7696722434</v>
      </c>
      <c r="AJ5" s="25">
        <f aca="true" t="shared" si="15" ref="AJ5:AJ20">AI5*2%</f>
        <v>153934448.68</v>
      </c>
      <c r="AK5" s="25">
        <f aca="true" t="shared" si="16" ref="AK5:AK21">AI5-AJ5</f>
        <v>7542787985.32</v>
      </c>
      <c r="AL5" s="6">
        <v>7696722434</v>
      </c>
      <c r="AM5" s="25">
        <f aca="true" t="shared" si="17" ref="AM5:AM20">AL5*2%</f>
        <v>153934448.68</v>
      </c>
      <c r="AN5" s="25">
        <f aca="true" t="shared" si="18" ref="AN5:AN20">AL5-AM5</f>
        <v>7542787985.32</v>
      </c>
      <c r="AO5" s="25">
        <f>8551913816+3927148101</f>
        <v>12479061917</v>
      </c>
      <c r="AP5" s="25">
        <f aca="true" t="shared" si="19" ref="AP5:AP20">AO5*2%</f>
        <v>249581238.34</v>
      </c>
      <c r="AQ5" s="25">
        <f aca="true" t="shared" si="20" ref="AQ5:AQ20">AO5-AP5</f>
        <v>12229480678.66</v>
      </c>
      <c r="AR5" s="25">
        <v>1909292563</v>
      </c>
      <c r="AS5" s="25">
        <f>AR5*2%</f>
        <v>38185851.26</v>
      </c>
      <c r="AT5" s="25">
        <f>AR5-AS5</f>
        <v>1871106711.74</v>
      </c>
      <c r="AU5" s="25">
        <f aca="true" t="shared" si="21" ref="AU5:AU20">K5+N5+Q5+T5+W5+Z5+AC5+AF5+AI5+AL5+AO5+AR5</f>
        <v>115450836511</v>
      </c>
      <c r="AV5" s="58">
        <f t="shared" si="0"/>
        <v>0</v>
      </c>
      <c r="AW5" s="46">
        <f aca="true" t="shared" si="22" ref="AW5:AW39">AU5/I5</f>
        <v>1</v>
      </c>
    </row>
    <row r="6" spans="1:49" ht="12">
      <c r="A6" s="39" t="s">
        <v>12</v>
      </c>
      <c r="B6" s="10">
        <v>54504468469</v>
      </c>
      <c r="C6" s="6">
        <v>115131737</v>
      </c>
      <c r="D6" s="10">
        <v>1119978773</v>
      </c>
      <c r="E6" s="10">
        <v>3359936319</v>
      </c>
      <c r="F6" s="10">
        <v>18489627</v>
      </c>
      <c r="G6" s="31">
        <f t="shared" si="1"/>
        <v>3341446692</v>
      </c>
      <c r="H6" s="31">
        <v>519936417</v>
      </c>
      <c r="I6" s="25">
        <f t="shared" si="2"/>
        <v>59370698614</v>
      </c>
      <c r="J6" s="6">
        <f t="shared" si="3"/>
        <v>1187413972.28</v>
      </c>
      <c r="K6" s="28">
        <f>3263360204+363714548</f>
        <v>3627074752</v>
      </c>
      <c r="L6" s="6">
        <f t="shared" si="4"/>
        <v>72541495.04</v>
      </c>
      <c r="M6" s="6">
        <f t="shared" si="5"/>
        <v>3554533256.96</v>
      </c>
      <c r="N6" s="6">
        <v>6766033489</v>
      </c>
      <c r="O6" s="6">
        <f t="shared" si="6"/>
        <v>135320669.78</v>
      </c>
      <c r="P6" s="6">
        <f aca="true" t="shared" si="23" ref="P6:P20">N6-O6</f>
        <v>6630712819.22</v>
      </c>
      <c r="Q6" s="25">
        <v>4110714888</v>
      </c>
      <c r="R6" s="25">
        <f t="shared" si="7"/>
        <v>82214297.76</v>
      </c>
      <c r="S6" s="25">
        <f t="shared" si="8"/>
        <v>4028500590.24</v>
      </c>
      <c r="T6" s="25">
        <v>3625955782</v>
      </c>
      <c r="U6" s="25">
        <f>T6*2%</f>
        <v>72519115.64</v>
      </c>
      <c r="V6" s="25">
        <f>T6-U6</f>
        <v>3553436666.36</v>
      </c>
      <c r="W6" s="25">
        <v>3625955782</v>
      </c>
      <c r="X6" s="25">
        <f>W6*2%</f>
        <v>72519115.64</v>
      </c>
      <c r="Y6" s="25">
        <f>W6-X6</f>
        <v>3553436666.36</v>
      </c>
      <c r="Z6" s="25">
        <v>5438933673</v>
      </c>
      <c r="AA6" s="25">
        <f t="shared" si="9"/>
        <v>108778673.46000001</v>
      </c>
      <c r="AB6" s="25">
        <f t="shared" si="10"/>
        <v>5330154999.54</v>
      </c>
      <c r="AC6" s="25">
        <f>3625955782+839984080</f>
        <v>4465939862</v>
      </c>
      <c r="AD6" s="25">
        <f t="shared" si="11"/>
        <v>89318797.24</v>
      </c>
      <c r="AE6" s="25">
        <f t="shared" si="12"/>
        <v>4376621064.76</v>
      </c>
      <c r="AF6" s="25">
        <f>3625955782+167996816</f>
        <v>3793952598</v>
      </c>
      <c r="AG6" s="25">
        <f t="shared" si="13"/>
        <v>75879051.96000001</v>
      </c>
      <c r="AH6" s="25">
        <f t="shared" si="14"/>
        <v>3718073546.04</v>
      </c>
      <c r="AI6" s="25">
        <f>3625955782</f>
        <v>3625955782</v>
      </c>
      <c r="AJ6" s="25">
        <f t="shared" si="15"/>
        <v>72519115.64</v>
      </c>
      <c r="AK6" s="25">
        <f t="shared" si="16"/>
        <v>3553436666.36</v>
      </c>
      <c r="AL6" s="6">
        <v>8686544788</v>
      </c>
      <c r="AM6" s="25">
        <f t="shared" si="17"/>
        <v>173730895.76</v>
      </c>
      <c r="AN6" s="25">
        <f t="shared" si="18"/>
        <v>8512813892.24</v>
      </c>
      <c r="AO6" s="25">
        <f>4028839758+111997877</f>
        <v>4140837635</v>
      </c>
      <c r="AP6" s="25">
        <f t="shared" si="19"/>
        <v>82816752.7</v>
      </c>
      <c r="AQ6" s="25">
        <f t="shared" si="20"/>
        <v>4058020882.3</v>
      </c>
      <c r="AR6" s="25">
        <f>3601416474+3341446692+519936417</f>
        <v>7462799583</v>
      </c>
      <c r="AS6" s="25"/>
      <c r="AT6" s="25">
        <f aca="true" t="shared" si="24" ref="AT6:AT21">AR6-AS6</f>
        <v>7462799583</v>
      </c>
      <c r="AU6" s="25">
        <f t="shared" si="21"/>
        <v>59370698614</v>
      </c>
      <c r="AV6" s="58">
        <f t="shared" si="0"/>
        <v>0</v>
      </c>
      <c r="AW6" s="46">
        <f t="shared" si="22"/>
        <v>1</v>
      </c>
    </row>
    <row r="7" spans="1:49" ht="12">
      <c r="A7" s="39" t="s">
        <v>13</v>
      </c>
      <c r="B7" s="6">
        <v>30990072189</v>
      </c>
      <c r="C7" s="6">
        <v>65871071</v>
      </c>
      <c r="D7" s="6">
        <v>673685333</v>
      </c>
      <c r="E7" s="6">
        <v>2021055998</v>
      </c>
      <c r="F7" s="6">
        <v>5513377</v>
      </c>
      <c r="G7" s="31">
        <f t="shared" si="1"/>
        <v>2015542621</v>
      </c>
      <c r="H7" s="31">
        <v>535517245</v>
      </c>
      <c r="I7" s="25">
        <f t="shared" si="2"/>
        <v>34148946317</v>
      </c>
      <c r="J7" s="6">
        <f t="shared" si="3"/>
        <v>682978926.34</v>
      </c>
      <c r="K7" s="28">
        <f>1855452067+206797555</f>
        <v>2062249622</v>
      </c>
      <c r="L7" s="6">
        <f t="shared" si="4"/>
        <v>41244992.44</v>
      </c>
      <c r="M7" s="6">
        <f t="shared" si="5"/>
        <v>2021004629.56</v>
      </c>
      <c r="N7" s="6">
        <v>3846970619</v>
      </c>
      <c r="O7" s="6">
        <f t="shared" si="6"/>
        <v>76939412.38</v>
      </c>
      <c r="P7" s="6">
        <f t="shared" si="23"/>
        <v>3770031206.62</v>
      </c>
      <c r="Q7" s="25">
        <v>2337233390</v>
      </c>
      <c r="R7" s="25">
        <f t="shared" si="7"/>
        <v>46744667.800000004</v>
      </c>
      <c r="S7" s="25">
        <f t="shared" si="8"/>
        <v>2290488722.2</v>
      </c>
      <c r="T7" s="25">
        <v>2061613408</v>
      </c>
      <c r="U7" s="25">
        <f aca="true" t="shared" si="25" ref="U7:U20">T7*2%</f>
        <v>41232268.160000004</v>
      </c>
      <c r="V7" s="25">
        <f aca="true" t="shared" si="26" ref="V7:V20">T7-U7</f>
        <v>2020381139.84</v>
      </c>
      <c r="W7" s="25">
        <v>2061613408</v>
      </c>
      <c r="X7" s="25">
        <f aca="true" t="shared" si="27" ref="X7:X20">W7*2%</f>
        <v>41232268.160000004</v>
      </c>
      <c r="Y7" s="25">
        <f aca="true" t="shared" si="28" ref="Y7:Y20">W7-X7</f>
        <v>2020381139.84</v>
      </c>
      <c r="Z7" s="25">
        <v>3092420112</v>
      </c>
      <c r="AA7" s="25">
        <f t="shared" si="9"/>
        <v>61848402.24</v>
      </c>
      <c r="AB7" s="25">
        <f t="shared" si="10"/>
        <v>3030571709.76</v>
      </c>
      <c r="AC7" s="25">
        <v>2061613408</v>
      </c>
      <c r="AD7" s="25">
        <f t="shared" si="11"/>
        <v>41232268.160000004</v>
      </c>
      <c r="AE7" s="25">
        <f t="shared" si="12"/>
        <v>2020381139.84</v>
      </c>
      <c r="AF7" s="25">
        <f>2061613408+414316480</f>
        <v>2475929888</v>
      </c>
      <c r="AG7" s="25">
        <f t="shared" si="13"/>
        <v>49518597.76</v>
      </c>
      <c r="AH7" s="25">
        <f t="shared" si="14"/>
        <v>2426411290.24</v>
      </c>
      <c r="AI7" s="25">
        <f>2061613408</f>
        <v>2061613408</v>
      </c>
      <c r="AJ7" s="25">
        <f t="shared" si="15"/>
        <v>41232268.160000004</v>
      </c>
      <c r="AK7" s="25">
        <f t="shared" si="16"/>
        <v>2020381139.84</v>
      </c>
      <c r="AL7" s="6">
        <v>4935412408</v>
      </c>
      <c r="AM7" s="25">
        <f t="shared" si="17"/>
        <v>98708248.16</v>
      </c>
      <c r="AN7" s="25">
        <f t="shared" si="18"/>
        <v>4836704159.84</v>
      </c>
      <c r="AO7" s="25">
        <f>2290681564+259368853</f>
        <v>2550050417</v>
      </c>
      <c r="AP7" s="25">
        <f t="shared" si="19"/>
        <v>51001008.34</v>
      </c>
      <c r="AQ7" s="25">
        <f t="shared" si="20"/>
        <v>2499049408.66</v>
      </c>
      <c r="AR7" s="25">
        <f>2051166363+2015542621+535517245</f>
        <v>4602226229</v>
      </c>
      <c r="AS7" s="25">
        <f aca="true" t="shared" si="29" ref="AS7:AS20">AR7*2%</f>
        <v>92044524.58</v>
      </c>
      <c r="AT7" s="25">
        <f t="shared" si="24"/>
        <v>4510181704.42</v>
      </c>
      <c r="AU7" s="25">
        <f t="shared" si="21"/>
        <v>34148946317</v>
      </c>
      <c r="AV7" s="58">
        <f t="shared" si="0"/>
        <v>0</v>
      </c>
      <c r="AW7" s="46">
        <f t="shared" si="22"/>
        <v>1</v>
      </c>
    </row>
    <row r="8" spans="1:49" ht="12">
      <c r="A8" s="39" t="s">
        <v>14</v>
      </c>
      <c r="B8" s="6">
        <v>46355556169</v>
      </c>
      <c r="C8" s="6">
        <v>98472877</v>
      </c>
      <c r="D8" s="6">
        <v>987834085</v>
      </c>
      <c r="E8" s="6">
        <v>2963502255</v>
      </c>
      <c r="F8" s="6">
        <v>0</v>
      </c>
      <c r="G8" s="31">
        <f t="shared" si="1"/>
        <v>2963502255</v>
      </c>
      <c r="H8" s="31">
        <v>591498768</v>
      </c>
      <c r="I8" s="25">
        <f t="shared" si="2"/>
        <v>50799918400</v>
      </c>
      <c r="J8" s="6">
        <f t="shared" si="3"/>
        <v>1015998368</v>
      </c>
      <c r="K8" s="28">
        <f>2775424998+309332218</f>
        <v>3084757216</v>
      </c>
      <c r="L8" s="6">
        <f t="shared" si="4"/>
        <v>61695144.32</v>
      </c>
      <c r="M8" s="6">
        <f t="shared" si="5"/>
        <v>3023062071.68</v>
      </c>
      <c r="N8" s="6">
        <v>5754381162</v>
      </c>
      <c r="O8" s="6">
        <f t="shared" si="6"/>
        <v>115087623.24000001</v>
      </c>
      <c r="P8" s="6">
        <f t="shared" si="23"/>
        <v>5639293538.76</v>
      </c>
      <c r="Q8" s="25">
        <v>3496083833</v>
      </c>
      <c r="R8" s="25">
        <f t="shared" si="7"/>
        <v>69921676.66</v>
      </c>
      <c r="S8" s="25">
        <f t="shared" si="8"/>
        <v>3426162156.34</v>
      </c>
      <c r="T8" s="25">
        <v>3083805553</v>
      </c>
      <c r="U8" s="25">
        <f t="shared" si="25"/>
        <v>61676111.06</v>
      </c>
      <c r="V8" s="25">
        <f t="shared" si="26"/>
        <v>3022129441.94</v>
      </c>
      <c r="W8" s="25">
        <v>3083805553</v>
      </c>
      <c r="X8" s="25">
        <f t="shared" si="27"/>
        <v>61676111.06</v>
      </c>
      <c r="Y8" s="25">
        <f t="shared" si="28"/>
        <v>3022129441.94</v>
      </c>
      <c r="Z8" s="25">
        <v>4625708330</v>
      </c>
      <c r="AA8" s="25">
        <f t="shared" si="9"/>
        <v>92514166.60000001</v>
      </c>
      <c r="AB8" s="25">
        <f t="shared" si="10"/>
        <v>4533194163.4</v>
      </c>
      <c r="AC8" s="25">
        <f>3083805553+740875564</f>
        <v>3824681117</v>
      </c>
      <c r="AD8" s="25">
        <f t="shared" si="11"/>
        <v>76493622.34</v>
      </c>
      <c r="AE8" s="25">
        <f t="shared" si="12"/>
        <v>3748187494.66</v>
      </c>
      <c r="AF8" s="25">
        <f>3083805553+148175113</f>
        <v>3231980666</v>
      </c>
      <c r="AG8" s="25">
        <f t="shared" si="13"/>
        <v>64639613.32</v>
      </c>
      <c r="AH8" s="25">
        <f t="shared" si="14"/>
        <v>3167341052.68</v>
      </c>
      <c r="AI8" s="25">
        <f>3083805553</f>
        <v>3083805553</v>
      </c>
      <c r="AJ8" s="25">
        <f t="shared" si="15"/>
        <v>61676111.06</v>
      </c>
      <c r="AK8" s="25">
        <f t="shared" si="16"/>
        <v>3022129441.94</v>
      </c>
      <c r="AL8" s="6">
        <v>7384384228</v>
      </c>
      <c r="AM8" s="25">
        <f t="shared" si="17"/>
        <v>147687684.56</v>
      </c>
      <c r="AN8" s="25">
        <f t="shared" si="18"/>
        <v>7236696543.44</v>
      </c>
      <c r="AO8" s="25">
        <f>3426450614+98783408</f>
        <v>3525234022</v>
      </c>
      <c r="AP8" s="25">
        <f t="shared" si="19"/>
        <v>70504680.44</v>
      </c>
      <c r="AQ8" s="25">
        <f t="shared" si="20"/>
        <v>3454729341.56</v>
      </c>
      <c r="AR8" s="25">
        <f>3066290144+2963502255+591498768</f>
        <v>6621291167</v>
      </c>
      <c r="AS8" s="25">
        <f t="shared" si="29"/>
        <v>132425823.34</v>
      </c>
      <c r="AT8" s="25">
        <f t="shared" si="24"/>
        <v>6488865343.66</v>
      </c>
      <c r="AU8" s="25">
        <f t="shared" si="21"/>
        <v>50799918400</v>
      </c>
      <c r="AV8" s="58">
        <f t="shared" si="0"/>
        <v>0</v>
      </c>
      <c r="AW8" s="46">
        <f t="shared" si="22"/>
        <v>1</v>
      </c>
    </row>
    <row r="9" spans="1:49" ht="12">
      <c r="A9" s="39" t="s">
        <v>15</v>
      </c>
      <c r="B9" s="6">
        <v>57680366883</v>
      </c>
      <c r="C9" s="6">
        <v>123085313</v>
      </c>
      <c r="D9" s="6">
        <v>1253931699</v>
      </c>
      <c r="E9" s="6">
        <v>3761795097</v>
      </c>
      <c r="F9" s="6">
        <v>14164373</v>
      </c>
      <c r="G9" s="31">
        <f t="shared" si="1"/>
        <v>3747630724</v>
      </c>
      <c r="H9" s="31">
        <v>515708558</v>
      </c>
      <c r="I9" s="25">
        <f t="shared" si="2"/>
        <v>63074552551</v>
      </c>
      <c r="J9" s="6">
        <f t="shared" si="3"/>
        <v>1261491051.02</v>
      </c>
      <c r="K9" s="28">
        <f>3453436894+384899356</f>
        <v>3838336250</v>
      </c>
      <c r="L9" s="6">
        <f t="shared" si="4"/>
        <v>76766725</v>
      </c>
      <c r="M9" s="6">
        <f t="shared" si="5"/>
        <v>3761569525</v>
      </c>
      <c r="N9" s="6">
        <v>7160125827</v>
      </c>
      <c r="O9" s="6">
        <f t="shared" si="6"/>
        <v>143202516.54</v>
      </c>
      <c r="P9" s="6">
        <f t="shared" si="23"/>
        <v>7016923310.46</v>
      </c>
      <c r="Q9" s="25">
        <v>4350146342</v>
      </c>
      <c r="R9" s="25">
        <f t="shared" si="7"/>
        <v>87002926.84</v>
      </c>
      <c r="S9" s="25">
        <f t="shared" si="8"/>
        <v>4263143415.16</v>
      </c>
      <c r="T9" s="25">
        <v>3837152105</v>
      </c>
      <c r="U9" s="25">
        <f t="shared" si="25"/>
        <v>76743042.10000001</v>
      </c>
      <c r="V9" s="25">
        <f t="shared" si="26"/>
        <v>3760409062.9</v>
      </c>
      <c r="W9" s="25">
        <v>3837152105</v>
      </c>
      <c r="X9" s="25">
        <f t="shared" si="27"/>
        <v>76743042.10000001</v>
      </c>
      <c r="Y9" s="25">
        <f t="shared" si="28"/>
        <v>3760409062.9</v>
      </c>
      <c r="Z9" s="25">
        <v>5755728158</v>
      </c>
      <c r="AA9" s="25">
        <f t="shared" si="9"/>
        <v>115114563.16</v>
      </c>
      <c r="AB9" s="25">
        <f t="shared" si="10"/>
        <v>5640613594.84</v>
      </c>
      <c r="AC9" s="25">
        <v>3837152105</v>
      </c>
      <c r="AD9" s="25">
        <f t="shared" si="11"/>
        <v>76743042.10000001</v>
      </c>
      <c r="AE9" s="25">
        <f t="shared" si="12"/>
        <v>3760409062.9</v>
      </c>
      <c r="AF9" s="25">
        <f>3837152105+712233205</f>
        <v>4549385310</v>
      </c>
      <c r="AG9" s="25">
        <f t="shared" si="13"/>
        <v>90987706.2</v>
      </c>
      <c r="AH9" s="25">
        <f t="shared" si="14"/>
        <v>4458397603.8</v>
      </c>
      <c r="AI9" s="25">
        <f>3837152105</f>
        <v>3837152105</v>
      </c>
      <c r="AJ9" s="25">
        <f t="shared" si="15"/>
        <v>76743042.10000001</v>
      </c>
      <c r="AK9" s="25">
        <f t="shared" si="16"/>
        <v>3760409062.9</v>
      </c>
      <c r="AL9" s="6">
        <v>9185970343</v>
      </c>
      <c r="AM9" s="25">
        <f t="shared" si="17"/>
        <v>183719406.86</v>
      </c>
      <c r="AN9" s="25">
        <f t="shared" si="18"/>
        <v>9002250936.14</v>
      </c>
      <c r="AO9" s="25">
        <f>4263502339+541698494</f>
        <v>4805200833</v>
      </c>
      <c r="AP9" s="25">
        <f t="shared" si="19"/>
        <v>96104016.66</v>
      </c>
      <c r="AQ9" s="25">
        <f t="shared" si="20"/>
        <v>4709096816.34</v>
      </c>
      <c r="AR9" s="25">
        <f>3817711786+3747630724+515708558</f>
        <v>8081051068</v>
      </c>
      <c r="AS9" s="25">
        <f t="shared" si="29"/>
        <v>161621021.36</v>
      </c>
      <c r="AT9" s="25">
        <f t="shared" si="24"/>
        <v>7919430046.64</v>
      </c>
      <c r="AU9" s="25">
        <f t="shared" si="21"/>
        <v>63074552551</v>
      </c>
      <c r="AV9" s="58">
        <f t="shared" si="0"/>
        <v>0</v>
      </c>
      <c r="AW9" s="46">
        <f t="shared" si="22"/>
        <v>1</v>
      </c>
    </row>
    <row r="10" spans="1:49" ht="12">
      <c r="A10" s="39" t="s">
        <v>16</v>
      </c>
      <c r="B10" s="6">
        <v>53937803578</v>
      </c>
      <c r="C10" s="6">
        <v>110900531</v>
      </c>
      <c r="D10" s="6">
        <v>1132533225</v>
      </c>
      <c r="E10" s="6">
        <v>3397599674</v>
      </c>
      <c r="F10" s="6">
        <v>10475295</v>
      </c>
      <c r="G10" s="31">
        <f t="shared" si="1"/>
        <v>3387124379</v>
      </c>
      <c r="H10" s="31">
        <v>382919635</v>
      </c>
      <c r="I10" s="25">
        <f t="shared" si="2"/>
        <v>58729480286</v>
      </c>
      <c r="J10" s="6">
        <f t="shared" si="3"/>
        <v>1174589605.72</v>
      </c>
      <c r="K10" s="28">
        <f>3229614183+359953419</f>
        <v>3589567602</v>
      </c>
      <c r="L10" s="6">
        <f t="shared" si="4"/>
        <v>71791352.04</v>
      </c>
      <c r="M10" s="6">
        <f t="shared" si="5"/>
        <v>3517776249.96</v>
      </c>
      <c r="N10" s="6">
        <v>6696066739</v>
      </c>
      <c r="O10" s="6">
        <f t="shared" si="6"/>
        <v>133921334.78</v>
      </c>
      <c r="P10" s="6">
        <f t="shared" si="23"/>
        <v>6562145404.22</v>
      </c>
      <c r="Q10" s="25">
        <v>4068206472</v>
      </c>
      <c r="R10" s="25">
        <f t="shared" si="7"/>
        <v>81364129.44</v>
      </c>
      <c r="S10" s="25">
        <f t="shared" si="8"/>
        <v>3986842342.56</v>
      </c>
      <c r="T10" s="25">
        <v>3588460203</v>
      </c>
      <c r="U10" s="25">
        <f t="shared" si="25"/>
        <v>71769204.06</v>
      </c>
      <c r="V10" s="25">
        <f t="shared" si="26"/>
        <v>3516690998.94</v>
      </c>
      <c r="W10" s="25">
        <v>3588460203</v>
      </c>
      <c r="X10" s="25">
        <f t="shared" si="27"/>
        <v>71769204.06</v>
      </c>
      <c r="Y10" s="25">
        <f t="shared" si="28"/>
        <v>3516690998.94</v>
      </c>
      <c r="Z10" s="25">
        <v>5382690305</v>
      </c>
      <c r="AA10" s="25">
        <f t="shared" si="9"/>
        <v>107653806.10000001</v>
      </c>
      <c r="AB10" s="25">
        <f t="shared" si="10"/>
        <v>5275036498.9</v>
      </c>
      <c r="AC10" s="25">
        <v>3588460203</v>
      </c>
      <c r="AD10" s="25">
        <f t="shared" si="11"/>
        <v>71769204.06</v>
      </c>
      <c r="AE10" s="25">
        <f t="shared" si="12"/>
        <v>3516690998.94</v>
      </c>
      <c r="AF10" s="25">
        <f>3588460203+656869271</f>
        <v>4245329474</v>
      </c>
      <c r="AG10" s="25">
        <f t="shared" si="13"/>
        <v>84906589.48</v>
      </c>
      <c r="AH10" s="25">
        <f t="shared" si="14"/>
        <v>4160422884.52</v>
      </c>
      <c r="AI10" s="25">
        <f>3588460203</f>
        <v>3588460203</v>
      </c>
      <c r="AJ10" s="25">
        <f t="shared" si="15"/>
        <v>71769204.06</v>
      </c>
      <c r="AK10" s="25">
        <f t="shared" si="16"/>
        <v>3516690998.94</v>
      </c>
      <c r="AL10" s="6">
        <v>8594425336</v>
      </c>
      <c r="AM10" s="25">
        <f t="shared" si="17"/>
        <v>171888506.72</v>
      </c>
      <c r="AN10" s="25">
        <f t="shared" si="18"/>
        <v>8422536829.28</v>
      </c>
      <c r="AO10" s="25">
        <f>3987178003+475663954</f>
        <v>4462841957</v>
      </c>
      <c r="AP10" s="25">
        <f t="shared" si="19"/>
        <v>89256839.14</v>
      </c>
      <c r="AQ10" s="25">
        <f t="shared" si="20"/>
        <v>4373585117.86</v>
      </c>
      <c r="AR10" s="25">
        <f>3566467575+3387124379+382919635</f>
        <v>7336511589</v>
      </c>
      <c r="AS10" s="25">
        <f t="shared" si="29"/>
        <v>146730231.78</v>
      </c>
      <c r="AT10" s="25">
        <f t="shared" si="24"/>
        <v>7189781357.22</v>
      </c>
      <c r="AU10" s="25">
        <f t="shared" si="21"/>
        <v>58729480286</v>
      </c>
      <c r="AV10" s="58">
        <f t="shared" si="0"/>
        <v>0</v>
      </c>
      <c r="AW10" s="46">
        <f t="shared" si="22"/>
        <v>1</v>
      </c>
    </row>
    <row r="11" spans="1:49" ht="12">
      <c r="A11" s="39" t="s">
        <v>17</v>
      </c>
      <c r="B11" s="6">
        <v>20345093907</v>
      </c>
      <c r="C11" s="6">
        <v>42131323</v>
      </c>
      <c r="D11" s="6">
        <v>427961105</v>
      </c>
      <c r="E11" s="6">
        <v>1283883316</v>
      </c>
      <c r="F11" s="6">
        <v>3479353</v>
      </c>
      <c r="G11" s="31">
        <f t="shared" si="1"/>
        <v>1280403963</v>
      </c>
      <c r="H11" s="31">
        <v>596838269</v>
      </c>
      <c r="I11" s="25">
        <f t="shared" si="2"/>
        <v>22608165921</v>
      </c>
      <c r="J11" s="6">
        <f t="shared" si="3"/>
        <v>452163318.42</v>
      </c>
      <c r="K11" s="28">
        <f>1218177755+135770784</f>
        <v>1353948539</v>
      </c>
      <c r="L11" s="6">
        <f t="shared" si="4"/>
        <v>27078970.78</v>
      </c>
      <c r="M11" s="6">
        <f t="shared" si="5"/>
        <v>1326869568.22</v>
      </c>
      <c r="N11" s="6">
        <v>2525688545</v>
      </c>
      <c r="O11" s="6">
        <f t="shared" si="6"/>
        <v>50513770.9</v>
      </c>
      <c r="P11" s="6">
        <f t="shared" si="23"/>
        <v>2475174774.1</v>
      </c>
      <c r="Q11" s="25">
        <v>1534486272</v>
      </c>
      <c r="R11" s="25">
        <f t="shared" si="7"/>
        <v>30689725.44</v>
      </c>
      <c r="S11" s="25">
        <f t="shared" si="8"/>
        <v>1503796546.56</v>
      </c>
      <c r="T11" s="25">
        <v>1353530839</v>
      </c>
      <c r="U11" s="25">
        <f t="shared" si="25"/>
        <v>27070616.78</v>
      </c>
      <c r="V11" s="25">
        <f t="shared" si="26"/>
        <v>1326460222.22</v>
      </c>
      <c r="W11" s="25">
        <v>1353530839</v>
      </c>
      <c r="X11" s="25">
        <f t="shared" si="27"/>
        <v>27070616.78</v>
      </c>
      <c r="Y11" s="25">
        <f t="shared" si="28"/>
        <v>1326460222.22</v>
      </c>
      <c r="Z11" s="25">
        <v>2030296259</v>
      </c>
      <c r="AA11" s="25">
        <f t="shared" si="9"/>
        <v>40605925.18</v>
      </c>
      <c r="AB11" s="25">
        <f t="shared" si="10"/>
        <v>1989690333.82</v>
      </c>
      <c r="AC11" s="25">
        <v>1353530839</v>
      </c>
      <c r="AD11" s="25">
        <f t="shared" si="11"/>
        <v>27070616.78</v>
      </c>
      <c r="AE11" s="25">
        <f t="shared" si="12"/>
        <v>1326460222.22</v>
      </c>
      <c r="AF11" s="25">
        <f>1353530839+104850471</f>
        <v>1458381310</v>
      </c>
      <c r="AG11" s="25">
        <f t="shared" si="13"/>
        <v>29167626.2</v>
      </c>
      <c r="AH11" s="25">
        <f t="shared" si="14"/>
        <v>1429213683.8</v>
      </c>
      <c r="AI11" s="25">
        <f>1353530839</f>
        <v>1353530839</v>
      </c>
      <c r="AJ11" s="25">
        <f t="shared" si="15"/>
        <v>27070616.78</v>
      </c>
      <c r="AK11" s="25">
        <f t="shared" si="16"/>
        <v>1326460222.22</v>
      </c>
      <c r="AL11" s="6">
        <v>3241655980</v>
      </c>
      <c r="AM11" s="25">
        <f t="shared" si="17"/>
        <v>64833119.6</v>
      </c>
      <c r="AN11" s="25">
        <f t="shared" si="18"/>
        <v>3176822860.4</v>
      </c>
      <c r="AO11" s="25">
        <f>1503923154+323110634</f>
        <v>1827033788</v>
      </c>
      <c r="AP11" s="25">
        <f t="shared" si="19"/>
        <v>36540675.76</v>
      </c>
      <c r="AQ11" s="25">
        <f t="shared" si="20"/>
        <v>1790493112.24</v>
      </c>
      <c r="AR11" s="25">
        <f>1345309640+1280403963+596838269</f>
        <v>3222551872</v>
      </c>
      <c r="AS11" s="25">
        <f t="shared" si="29"/>
        <v>64451037.44</v>
      </c>
      <c r="AT11" s="25">
        <f t="shared" si="24"/>
        <v>3158100834.56</v>
      </c>
      <c r="AU11" s="25">
        <f t="shared" si="21"/>
        <v>22608165921</v>
      </c>
      <c r="AV11" s="58">
        <f t="shared" si="0"/>
        <v>0</v>
      </c>
      <c r="AW11" s="46">
        <f t="shared" si="22"/>
        <v>1</v>
      </c>
    </row>
    <row r="12" spans="1:49" ht="12">
      <c r="A12" s="39" t="s">
        <v>18</v>
      </c>
      <c r="B12" s="6">
        <v>14230442842</v>
      </c>
      <c r="C12" s="6">
        <v>30539044</v>
      </c>
      <c r="D12" s="6">
        <v>309356206</v>
      </c>
      <c r="E12" s="6">
        <v>928068619</v>
      </c>
      <c r="F12" s="6">
        <v>0</v>
      </c>
      <c r="G12" s="31">
        <f t="shared" si="1"/>
        <v>928068619</v>
      </c>
      <c r="H12" s="31">
        <v>410668297</v>
      </c>
      <c r="I12" s="25">
        <f t="shared" si="2"/>
        <v>15847996920</v>
      </c>
      <c r="J12" s="6">
        <f t="shared" si="3"/>
        <v>316959938.40000004</v>
      </c>
      <c r="K12" s="28">
        <f>851994228+94958165</f>
        <v>946952393</v>
      </c>
      <c r="L12" s="6">
        <f t="shared" si="4"/>
        <v>18939047.86</v>
      </c>
      <c r="M12" s="6">
        <f t="shared" si="5"/>
        <v>928013345.14</v>
      </c>
      <c r="N12" s="6">
        <v>1766468032</v>
      </c>
      <c r="O12" s="6">
        <f t="shared" si="6"/>
        <v>35329360.64</v>
      </c>
      <c r="P12" s="6">
        <f t="shared" si="23"/>
        <v>1731138671.36</v>
      </c>
      <c r="Q12" s="25">
        <v>1073220588</v>
      </c>
      <c r="R12" s="25">
        <f t="shared" si="7"/>
        <v>21464411.76</v>
      </c>
      <c r="S12" s="25">
        <f t="shared" si="8"/>
        <v>1051756176.24</v>
      </c>
      <c r="T12" s="25">
        <v>946660253</v>
      </c>
      <c r="U12" s="25">
        <f t="shared" si="25"/>
        <v>18933205.06</v>
      </c>
      <c r="V12" s="25">
        <f t="shared" si="26"/>
        <v>927727047.94</v>
      </c>
      <c r="W12" s="25">
        <v>946660253</v>
      </c>
      <c r="X12" s="25">
        <f t="shared" si="27"/>
        <v>18933205.06</v>
      </c>
      <c r="Y12" s="25">
        <f t="shared" si="28"/>
        <v>927727047.94</v>
      </c>
      <c r="Z12" s="25">
        <v>1419990380</v>
      </c>
      <c r="AA12" s="25">
        <f t="shared" si="9"/>
        <v>28399807.6</v>
      </c>
      <c r="AB12" s="25">
        <f t="shared" si="10"/>
        <v>1391590572.4</v>
      </c>
      <c r="AC12" s="25">
        <v>946660253</v>
      </c>
      <c r="AD12" s="25">
        <f t="shared" si="11"/>
        <v>18933205.06</v>
      </c>
      <c r="AE12" s="25">
        <f t="shared" si="12"/>
        <v>927727047.94</v>
      </c>
      <c r="AF12" s="25">
        <f>946660253+127114465</f>
        <v>1073774718</v>
      </c>
      <c r="AG12" s="25">
        <f t="shared" si="13"/>
        <v>21475494.36</v>
      </c>
      <c r="AH12" s="25">
        <f t="shared" si="14"/>
        <v>1052299223.64</v>
      </c>
      <c r="AI12" s="25">
        <f>946660253</f>
        <v>946660253</v>
      </c>
      <c r="AJ12" s="25">
        <f t="shared" si="15"/>
        <v>18933205.06</v>
      </c>
      <c r="AK12" s="25">
        <f t="shared" si="16"/>
        <v>927727047.94</v>
      </c>
      <c r="AL12" s="6">
        <v>2266262274</v>
      </c>
      <c r="AM12" s="25">
        <f t="shared" si="17"/>
        <v>45325245.480000004</v>
      </c>
      <c r="AN12" s="25">
        <f t="shared" si="18"/>
        <v>2220937028.52</v>
      </c>
      <c r="AO12" s="25">
        <f>1051844726+182241741</f>
        <v>1234086467</v>
      </c>
      <c r="AP12" s="25">
        <f t="shared" si="19"/>
        <v>24681729.34</v>
      </c>
      <c r="AQ12" s="25">
        <f t="shared" si="20"/>
        <v>1209404737.66</v>
      </c>
      <c r="AR12" s="25">
        <f>941864140+928068619+410668297</f>
        <v>2280601056</v>
      </c>
      <c r="AS12" s="25">
        <f t="shared" si="29"/>
        <v>45612021.12</v>
      </c>
      <c r="AT12" s="25">
        <f t="shared" si="24"/>
        <v>2234989034.88</v>
      </c>
      <c r="AU12" s="25">
        <f t="shared" si="21"/>
        <v>15847996920</v>
      </c>
      <c r="AV12" s="58">
        <f t="shared" si="0"/>
        <v>0</v>
      </c>
      <c r="AW12" s="46">
        <f t="shared" si="22"/>
        <v>1</v>
      </c>
    </row>
    <row r="13" spans="1:49" ht="12">
      <c r="A13" s="39" t="s">
        <v>19</v>
      </c>
      <c r="B13" s="6">
        <v>45283255858</v>
      </c>
      <c r="C13" s="6">
        <v>93675267</v>
      </c>
      <c r="D13" s="6">
        <v>908011498</v>
      </c>
      <c r="E13" s="6">
        <v>2724034495</v>
      </c>
      <c r="F13" s="6">
        <v>65611991</v>
      </c>
      <c r="G13" s="31">
        <f t="shared" si="1"/>
        <v>2658422504</v>
      </c>
      <c r="H13" s="31">
        <v>538118702</v>
      </c>
      <c r="I13" s="25">
        <f t="shared" si="2"/>
        <v>49294133295</v>
      </c>
      <c r="J13" s="6">
        <f t="shared" si="3"/>
        <v>985882665.9</v>
      </c>
      <c r="K13" s="28">
        <f>2711374835+302193571</f>
        <v>3013568406</v>
      </c>
      <c r="L13" s="6">
        <f t="shared" si="4"/>
        <v>60271368.120000005</v>
      </c>
      <c r="M13" s="6">
        <f t="shared" si="5"/>
        <v>2953297037.88</v>
      </c>
      <c r="N13" s="6">
        <v>5621583826</v>
      </c>
      <c r="O13" s="6">
        <f t="shared" si="6"/>
        <v>112431676.52</v>
      </c>
      <c r="P13" s="6">
        <f t="shared" si="23"/>
        <v>5509152149.48</v>
      </c>
      <c r="Q13" s="25">
        <v>3415402592</v>
      </c>
      <c r="R13" s="25">
        <f t="shared" si="7"/>
        <v>68308051.84</v>
      </c>
      <c r="S13" s="25">
        <f t="shared" si="8"/>
        <v>3347094540.16</v>
      </c>
      <c r="T13" s="25">
        <v>3012638706</v>
      </c>
      <c r="U13" s="25">
        <f t="shared" si="25"/>
        <v>60252774.120000005</v>
      </c>
      <c r="V13" s="25">
        <f t="shared" si="26"/>
        <v>2952385931.88</v>
      </c>
      <c r="W13" s="25">
        <v>3012638706</v>
      </c>
      <c r="X13" s="25">
        <f t="shared" si="27"/>
        <v>60252774.120000005</v>
      </c>
      <c r="Y13" s="25">
        <f t="shared" si="28"/>
        <v>2952385931.88</v>
      </c>
      <c r="Z13" s="25">
        <v>4518958059</v>
      </c>
      <c r="AA13" s="25">
        <f t="shared" si="9"/>
        <v>90379161.18</v>
      </c>
      <c r="AB13" s="25">
        <f t="shared" si="10"/>
        <v>4428578897.82</v>
      </c>
      <c r="AC13" s="25">
        <v>3012638706</v>
      </c>
      <c r="AD13" s="25">
        <f t="shared" si="11"/>
        <v>60252774.120000005</v>
      </c>
      <c r="AE13" s="25">
        <f t="shared" si="12"/>
        <v>2952385931.88</v>
      </c>
      <c r="AF13" s="25">
        <f>3012638706+718418697</f>
        <v>3731057403</v>
      </c>
      <c r="AG13" s="25">
        <f t="shared" si="13"/>
        <v>74621148.06</v>
      </c>
      <c r="AH13" s="25">
        <f t="shared" si="14"/>
        <v>3656436254.94</v>
      </c>
      <c r="AI13" s="25">
        <f>3012638706</f>
        <v>3012638706</v>
      </c>
      <c r="AJ13" s="25">
        <f t="shared" si="15"/>
        <v>60252774.120000005</v>
      </c>
      <c r="AK13" s="25">
        <f t="shared" si="16"/>
        <v>2952385931.88</v>
      </c>
      <c r="AL13" s="6">
        <v>7219387770</v>
      </c>
      <c r="AM13" s="25">
        <f t="shared" si="17"/>
        <v>144387755.4</v>
      </c>
      <c r="AN13" s="25">
        <f t="shared" si="18"/>
        <v>7075000014.6</v>
      </c>
      <c r="AO13" s="25">
        <f>3347376340+189592801</f>
        <v>3536969141</v>
      </c>
      <c r="AP13" s="25">
        <f t="shared" si="19"/>
        <v>70739382.82000001</v>
      </c>
      <c r="AQ13" s="25">
        <f t="shared" si="20"/>
        <v>3466229758.18</v>
      </c>
      <c r="AR13" s="25">
        <f>2990110068+2658422504+538118702</f>
        <v>6186651274</v>
      </c>
      <c r="AS13" s="25">
        <f t="shared" si="29"/>
        <v>123733025.48</v>
      </c>
      <c r="AT13" s="25">
        <f t="shared" si="24"/>
        <v>6062918248.52</v>
      </c>
      <c r="AU13" s="25">
        <f t="shared" si="21"/>
        <v>49294133295</v>
      </c>
      <c r="AV13" s="58">
        <f t="shared" si="0"/>
        <v>0</v>
      </c>
      <c r="AW13" s="46">
        <f t="shared" si="22"/>
        <v>1</v>
      </c>
    </row>
    <row r="14" spans="1:49" ht="12">
      <c r="A14" s="39" t="s">
        <v>51</v>
      </c>
      <c r="B14" s="6">
        <v>11449462946</v>
      </c>
      <c r="C14" s="6">
        <v>24425160</v>
      </c>
      <c r="D14" s="6">
        <v>248906103</v>
      </c>
      <c r="E14" s="6">
        <v>746718311</v>
      </c>
      <c r="F14" s="6">
        <v>2826433</v>
      </c>
      <c r="G14" s="31">
        <f t="shared" si="1"/>
        <v>743891878</v>
      </c>
      <c r="H14" s="31">
        <v>520182040</v>
      </c>
      <c r="I14" s="25">
        <f t="shared" si="2"/>
        <v>12938017807</v>
      </c>
      <c r="J14" s="6">
        <f t="shared" si="3"/>
        <v>258760356.14000002</v>
      </c>
      <c r="K14" s="28">
        <f>685502267+76401970</f>
        <v>761904237</v>
      </c>
      <c r="L14" s="6">
        <f t="shared" si="4"/>
        <v>15238084.74</v>
      </c>
      <c r="M14" s="6">
        <f t="shared" si="5"/>
        <v>746666152.26</v>
      </c>
      <c r="N14" s="6">
        <v>1421274701</v>
      </c>
      <c r="O14" s="6">
        <f t="shared" si="6"/>
        <v>28425494.02</v>
      </c>
      <c r="P14" s="6">
        <f t="shared" si="23"/>
        <v>1392849206.98</v>
      </c>
      <c r="Q14" s="25">
        <v>863497805</v>
      </c>
      <c r="R14" s="25">
        <f t="shared" si="7"/>
        <v>17269956.1</v>
      </c>
      <c r="S14" s="25">
        <f t="shared" si="8"/>
        <v>846227848.9</v>
      </c>
      <c r="T14" s="25">
        <v>761669186</v>
      </c>
      <c r="U14" s="25">
        <f t="shared" si="25"/>
        <v>15233383.72</v>
      </c>
      <c r="V14" s="25">
        <f t="shared" si="26"/>
        <v>746435802.28</v>
      </c>
      <c r="W14" s="25">
        <v>761669186</v>
      </c>
      <c r="X14" s="25">
        <f t="shared" si="27"/>
        <v>15233383.72</v>
      </c>
      <c r="Y14" s="25">
        <f t="shared" si="28"/>
        <v>746435802.28</v>
      </c>
      <c r="Z14" s="25">
        <v>1142503779</v>
      </c>
      <c r="AA14" s="25">
        <f t="shared" si="9"/>
        <v>22850075.580000002</v>
      </c>
      <c r="AB14" s="25">
        <f t="shared" si="10"/>
        <v>1119653703.42</v>
      </c>
      <c r="AC14" s="25">
        <f>761669186+186679577</f>
        <v>948348763</v>
      </c>
      <c r="AD14" s="25">
        <f t="shared" si="11"/>
        <v>18966975.26</v>
      </c>
      <c r="AE14" s="25">
        <f t="shared" si="12"/>
        <v>929381787.74</v>
      </c>
      <c r="AF14" s="25">
        <f>761669186+37335915</f>
        <v>799005101</v>
      </c>
      <c r="AG14" s="25">
        <f t="shared" si="13"/>
        <v>15980102.02</v>
      </c>
      <c r="AH14" s="25">
        <f t="shared" si="14"/>
        <v>783024998.98</v>
      </c>
      <c r="AI14" s="25">
        <f>761669186</f>
        <v>761669186</v>
      </c>
      <c r="AJ14" s="25">
        <f t="shared" si="15"/>
        <v>15233383.72</v>
      </c>
      <c r="AK14" s="25">
        <f t="shared" si="16"/>
        <v>746435802.28</v>
      </c>
      <c r="AL14" s="6">
        <v>1823401696</v>
      </c>
      <c r="AM14" s="25">
        <f t="shared" si="17"/>
        <v>36468033.92</v>
      </c>
      <c r="AN14" s="25">
        <f t="shared" si="18"/>
        <v>1786933662.08</v>
      </c>
      <c r="AO14" s="25">
        <f>846299095+24890611</f>
        <v>871189706</v>
      </c>
      <c r="AP14" s="25">
        <f t="shared" si="19"/>
        <v>17423794.12</v>
      </c>
      <c r="AQ14" s="25">
        <f t="shared" si="20"/>
        <v>853765911.88</v>
      </c>
      <c r="AR14" s="25">
        <f>757810543+743891878+520182040</f>
        <v>2021884461</v>
      </c>
      <c r="AS14" s="25">
        <f t="shared" si="29"/>
        <v>40437689.22</v>
      </c>
      <c r="AT14" s="25">
        <f t="shared" si="24"/>
        <v>1981446771.78</v>
      </c>
      <c r="AU14" s="25">
        <f t="shared" si="21"/>
        <v>12938017807</v>
      </c>
      <c r="AV14" s="58">
        <f t="shared" si="0"/>
        <v>0</v>
      </c>
      <c r="AW14" s="46">
        <f t="shared" si="22"/>
        <v>1</v>
      </c>
    </row>
    <row r="15" spans="1:49" ht="12">
      <c r="A15" s="39" t="s">
        <v>20</v>
      </c>
      <c r="B15" s="6">
        <v>24515286279</v>
      </c>
      <c r="C15" s="6">
        <v>52650099</v>
      </c>
      <c r="D15" s="6">
        <v>532945341</v>
      </c>
      <c r="E15" s="6">
        <v>1598836022</v>
      </c>
      <c r="F15" s="6">
        <v>5348737</v>
      </c>
      <c r="G15" s="31">
        <f t="shared" si="1"/>
        <v>1593487285</v>
      </c>
      <c r="H15" s="31">
        <v>559726876</v>
      </c>
      <c r="I15" s="25">
        <f t="shared" si="2"/>
        <v>27148795682</v>
      </c>
      <c r="J15" s="6">
        <f t="shared" si="3"/>
        <v>542975913.64</v>
      </c>
      <c r="K15" s="28">
        <f>1467758171+163587519</f>
        <v>1631345690</v>
      </c>
      <c r="L15" s="6">
        <f t="shared" si="4"/>
        <v>32626913.8</v>
      </c>
      <c r="M15" s="6">
        <f t="shared" si="5"/>
        <v>1598718776.2</v>
      </c>
      <c r="N15" s="6">
        <v>3043151941</v>
      </c>
      <c r="O15" s="6">
        <f t="shared" si="6"/>
        <v>60863038.82</v>
      </c>
      <c r="P15" s="6">
        <f t="shared" si="23"/>
        <v>2982288902.18</v>
      </c>
      <c r="Q15" s="25">
        <v>1848872017</v>
      </c>
      <c r="R15" s="25">
        <f t="shared" si="7"/>
        <v>36977440.34</v>
      </c>
      <c r="S15" s="25">
        <f t="shared" si="8"/>
        <v>1811894576.66</v>
      </c>
      <c r="T15" s="25">
        <v>1630842412</v>
      </c>
      <c r="U15" s="25">
        <f t="shared" si="25"/>
        <v>32616848.240000002</v>
      </c>
      <c r="V15" s="25">
        <f t="shared" si="26"/>
        <v>1598225563.76</v>
      </c>
      <c r="W15" s="25">
        <v>1630842412</v>
      </c>
      <c r="X15" s="25">
        <f t="shared" si="27"/>
        <v>32616848.240000002</v>
      </c>
      <c r="Y15" s="25">
        <f t="shared" si="28"/>
        <v>1598225563.76</v>
      </c>
      <c r="Z15" s="25">
        <v>2446263618</v>
      </c>
      <c r="AA15" s="25">
        <f t="shared" si="9"/>
        <v>48925272.36</v>
      </c>
      <c r="AB15" s="25">
        <f t="shared" si="10"/>
        <v>2397338345.64</v>
      </c>
      <c r="AC15" s="25">
        <v>1630842412</v>
      </c>
      <c r="AD15" s="25">
        <f t="shared" si="11"/>
        <v>32616848.240000002</v>
      </c>
      <c r="AE15" s="25">
        <f t="shared" si="12"/>
        <v>1598225563.76</v>
      </c>
      <c r="AF15" s="25">
        <f>1630842412+269883521</f>
        <v>1900725933</v>
      </c>
      <c r="AG15" s="25">
        <f t="shared" si="13"/>
        <v>38014518.660000004</v>
      </c>
      <c r="AH15" s="25">
        <f t="shared" si="14"/>
        <v>1862711414.34</v>
      </c>
      <c r="AI15" s="25">
        <f>1630842412</f>
        <v>1630842412</v>
      </c>
      <c r="AJ15" s="25">
        <f t="shared" si="15"/>
        <v>32616848.240000002</v>
      </c>
      <c r="AK15" s="25">
        <f t="shared" si="16"/>
        <v>1598225563.76</v>
      </c>
      <c r="AL15" s="6">
        <v>3904163042</v>
      </c>
      <c r="AM15" s="25">
        <f t="shared" si="17"/>
        <v>78083260.84</v>
      </c>
      <c r="AN15" s="25">
        <f t="shared" si="18"/>
        <v>3826079781.16</v>
      </c>
      <c r="AO15" s="25">
        <f>1812047124+263061820</f>
        <v>2075108944</v>
      </c>
      <c r="AP15" s="25">
        <f t="shared" si="19"/>
        <v>41502178.88</v>
      </c>
      <c r="AQ15" s="25">
        <f t="shared" si="20"/>
        <v>2033606765.12</v>
      </c>
      <c r="AR15" s="25">
        <f>1622580688+1593487285+559726876</f>
        <v>3775794849</v>
      </c>
      <c r="AS15" s="25">
        <f t="shared" si="29"/>
        <v>75515896.98</v>
      </c>
      <c r="AT15" s="25">
        <f t="shared" si="24"/>
        <v>3700278952.02</v>
      </c>
      <c r="AU15" s="25">
        <f t="shared" si="21"/>
        <v>27148795682</v>
      </c>
      <c r="AV15" s="58">
        <f t="shared" si="0"/>
        <v>0</v>
      </c>
      <c r="AW15" s="46">
        <f t="shared" si="22"/>
        <v>1</v>
      </c>
    </row>
    <row r="16" spans="1:49" ht="12">
      <c r="A16" s="39" t="s">
        <v>21</v>
      </c>
      <c r="B16" s="6">
        <v>10571903871</v>
      </c>
      <c r="C16" s="6">
        <v>22390291</v>
      </c>
      <c r="D16" s="6">
        <v>229827208</v>
      </c>
      <c r="E16" s="6">
        <v>689481623</v>
      </c>
      <c r="F16" s="6">
        <v>4937253</v>
      </c>
      <c r="G16" s="31">
        <f t="shared" si="1"/>
        <v>684544370</v>
      </c>
      <c r="H16" s="31">
        <v>302949587</v>
      </c>
      <c r="I16" s="25">
        <f t="shared" si="2"/>
        <v>11766834745</v>
      </c>
      <c r="J16" s="6">
        <f t="shared" si="3"/>
        <v>235336694.9</v>
      </c>
      <c r="K16" s="28">
        <f>632970815+70547129</f>
        <v>703517944</v>
      </c>
      <c r="L16" s="6">
        <f t="shared" si="4"/>
        <v>14070358.88</v>
      </c>
      <c r="M16" s="6">
        <f t="shared" si="5"/>
        <v>689447585.12</v>
      </c>
      <c r="N16" s="6">
        <v>1312359489</v>
      </c>
      <c r="O16" s="6">
        <f t="shared" si="6"/>
        <v>26247189.78</v>
      </c>
      <c r="P16" s="6">
        <f t="shared" si="23"/>
        <v>1286112299.22</v>
      </c>
      <c r="Q16" s="25">
        <v>797326188</v>
      </c>
      <c r="R16" s="25">
        <f t="shared" si="7"/>
        <v>15946523.76</v>
      </c>
      <c r="S16" s="25">
        <f t="shared" si="8"/>
        <v>781379664.24</v>
      </c>
      <c r="T16" s="25">
        <v>703300905</v>
      </c>
      <c r="U16" s="25">
        <f t="shared" si="25"/>
        <v>14066018.1</v>
      </c>
      <c r="V16" s="25">
        <f t="shared" si="26"/>
        <v>689234886.9</v>
      </c>
      <c r="W16" s="25">
        <v>703300905</v>
      </c>
      <c r="X16" s="25">
        <f t="shared" si="27"/>
        <v>14066018.1</v>
      </c>
      <c r="Y16" s="25">
        <f t="shared" si="28"/>
        <v>689234886.9</v>
      </c>
      <c r="Z16" s="25">
        <v>1054951358</v>
      </c>
      <c r="AA16" s="25">
        <f t="shared" si="9"/>
        <v>21099027.16</v>
      </c>
      <c r="AB16" s="25">
        <f t="shared" si="10"/>
        <v>1033852330.84</v>
      </c>
      <c r="AC16" s="25">
        <f>703300905+172370406</f>
        <v>875671311</v>
      </c>
      <c r="AD16" s="25">
        <f t="shared" si="11"/>
        <v>17513426.22</v>
      </c>
      <c r="AE16" s="25">
        <f t="shared" si="12"/>
        <v>858157884.78</v>
      </c>
      <c r="AF16" s="25">
        <v>703300905</v>
      </c>
      <c r="AG16" s="25">
        <f t="shared" si="13"/>
        <v>14066018.1</v>
      </c>
      <c r="AH16" s="25">
        <f t="shared" si="14"/>
        <v>689234886.9</v>
      </c>
      <c r="AI16" s="25">
        <v>703300905</v>
      </c>
      <c r="AJ16" s="25">
        <f t="shared" si="15"/>
        <v>14066018.1</v>
      </c>
      <c r="AK16" s="25">
        <f t="shared" si="16"/>
        <v>689234886.9</v>
      </c>
      <c r="AL16" s="6">
        <v>1683671110</v>
      </c>
      <c r="AM16" s="25">
        <f t="shared" si="17"/>
        <v>33673422.2</v>
      </c>
      <c r="AN16" s="25">
        <f t="shared" si="18"/>
        <v>1649997687.8</v>
      </c>
      <c r="AO16" s="25">
        <f>781445450+57456802</f>
        <v>838902252</v>
      </c>
      <c r="AP16" s="25">
        <f t="shared" si="19"/>
        <v>16778045.04</v>
      </c>
      <c r="AQ16" s="25">
        <f t="shared" si="20"/>
        <v>822124206.96</v>
      </c>
      <c r="AR16" s="25">
        <f>699737516+684544370+302949587</f>
        <v>1687231473</v>
      </c>
      <c r="AS16" s="25">
        <f t="shared" si="29"/>
        <v>33744629.46</v>
      </c>
      <c r="AT16" s="25">
        <f t="shared" si="24"/>
        <v>1653486843.54</v>
      </c>
      <c r="AU16" s="25">
        <f t="shared" si="21"/>
        <v>11766834745</v>
      </c>
      <c r="AV16" s="58">
        <f t="shared" si="0"/>
        <v>0</v>
      </c>
      <c r="AW16" s="46">
        <f t="shared" si="22"/>
        <v>1</v>
      </c>
    </row>
    <row r="17" spans="1:49" ht="12">
      <c r="A17" s="39" t="s">
        <v>22</v>
      </c>
      <c r="B17" s="6">
        <v>7966958090</v>
      </c>
      <c r="C17" s="6">
        <v>17470685</v>
      </c>
      <c r="D17" s="6">
        <v>173194198</v>
      </c>
      <c r="E17" s="6">
        <v>519582595</v>
      </c>
      <c r="F17" s="6">
        <v>613594</v>
      </c>
      <c r="G17" s="31">
        <f t="shared" si="1"/>
        <v>518969001</v>
      </c>
      <c r="H17" s="31">
        <v>409131681</v>
      </c>
      <c r="I17" s="25">
        <f t="shared" si="2"/>
        <v>9050782285</v>
      </c>
      <c r="J17" s="6">
        <f t="shared" si="3"/>
        <v>181015645.70000002</v>
      </c>
      <c r="K17" s="28">
        <f>476969244+53160130</f>
        <v>530129374</v>
      </c>
      <c r="L17" s="6">
        <f t="shared" si="4"/>
        <v>10602587.48</v>
      </c>
      <c r="M17" s="6">
        <f t="shared" si="5"/>
        <v>519526786.52</v>
      </c>
      <c r="N17" s="6">
        <v>988916233</v>
      </c>
      <c r="O17" s="6">
        <f t="shared" si="6"/>
        <v>19778324.66</v>
      </c>
      <c r="P17" s="6">
        <f t="shared" si="23"/>
        <v>969137908.34</v>
      </c>
      <c r="Q17" s="25">
        <v>600817701</v>
      </c>
      <c r="R17" s="25">
        <f t="shared" si="7"/>
        <v>12016354.02</v>
      </c>
      <c r="S17" s="25">
        <f t="shared" si="8"/>
        <v>588801346.98</v>
      </c>
      <c r="T17" s="25">
        <v>529965827</v>
      </c>
      <c r="U17" s="25">
        <f t="shared" si="25"/>
        <v>10599316.540000001</v>
      </c>
      <c r="V17" s="25">
        <f t="shared" si="26"/>
        <v>519366510.46</v>
      </c>
      <c r="W17" s="25">
        <v>529965827</v>
      </c>
      <c r="X17" s="25">
        <f t="shared" si="27"/>
        <v>10599316.540000001</v>
      </c>
      <c r="Y17" s="25">
        <f t="shared" si="28"/>
        <v>519366510.46</v>
      </c>
      <c r="Z17" s="25">
        <v>794948741</v>
      </c>
      <c r="AA17" s="25">
        <f t="shared" si="9"/>
        <v>15898974.82</v>
      </c>
      <c r="AB17" s="25">
        <f t="shared" si="10"/>
        <v>779049766.18</v>
      </c>
      <c r="AC17" s="25">
        <v>529965827</v>
      </c>
      <c r="AD17" s="25">
        <f t="shared" si="11"/>
        <v>10599316.540000001</v>
      </c>
      <c r="AE17" s="25">
        <f t="shared" si="12"/>
        <v>519366510.46</v>
      </c>
      <c r="AF17" s="25">
        <f>529965827+113009214</f>
        <v>642975041</v>
      </c>
      <c r="AG17" s="25">
        <f t="shared" si="13"/>
        <v>12859500.82</v>
      </c>
      <c r="AH17" s="25">
        <f t="shared" si="14"/>
        <v>630115540.18</v>
      </c>
      <c r="AI17" s="25">
        <f>529965827</f>
        <v>529965827</v>
      </c>
      <c r="AJ17" s="25">
        <f t="shared" si="15"/>
        <v>10599316.540000001</v>
      </c>
      <c r="AK17" s="25">
        <f t="shared" si="16"/>
        <v>519366510.46</v>
      </c>
      <c r="AL17" s="6">
        <v>1268713682</v>
      </c>
      <c r="AM17" s="25">
        <f t="shared" si="17"/>
        <v>25374273.64</v>
      </c>
      <c r="AN17" s="25">
        <f t="shared" si="18"/>
        <v>1243339408.36</v>
      </c>
      <c r="AO17" s="25">
        <f>588850919+60184984</f>
        <v>649035903</v>
      </c>
      <c r="AP17" s="25">
        <f t="shared" si="19"/>
        <v>12980718.06</v>
      </c>
      <c r="AQ17" s="25">
        <f t="shared" si="20"/>
        <v>636055184.94</v>
      </c>
      <c r="AR17" s="25">
        <f>527281620+518969001+409131681</f>
        <v>1455382302</v>
      </c>
      <c r="AS17" s="25">
        <f t="shared" si="29"/>
        <v>29107646.04</v>
      </c>
      <c r="AT17" s="25">
        <f t="shared" si="24"/>
        <v>1426274655.96</v>
      </c>
      <c r="AU17" s="25">
        <f t="shared" si="21"/>
        <v>9050782285</v>
      </c>
      <c r="AV17" s="58">
        <f t="shared" si="0"/>
        <v>0</v>
      </c>
      <c r="AW17" s="46">
        <f t="shared" si="22"/>
        <v>1</v>
      </c>
    </row>
    <row r="18" spans="1:49" ht="12">
      <c r="A18" s="39" t="s">
        <v>44</v>
      </c>
      <c r="B18" s="6">
        <v>4028894283</v>
      </c>
      <c r="C18" s="6">
        <v>8209683</v>
      </c>
      <c r="D18" s="6">
        <v>87584373</v>
      </c>
      <c r="E18" s="6">
        <v>262753118</v>
      </c>
      <c r="F18" s="6">
        <v>1565018</v>
      </c>
      <c r="G18" s="31">
        <f t="shared" si="1"/>
        <v>261188100</v>
      </c>
      <c r="H18" s="31">
        <v>706626978</v>
      </c>
      <c r="I18" s="25">
        <f t="shared" si="2"/>
        <v>5076084051</v>
      </c>
      <c r="J18" s="6">
        <f t="shared" si="3"/>
        <v>101521681.02</v>
      </c>
      <c r="K18" s="28">
        <f>241241076+26887283</f>
        <v>268128359</v>
      </c>
      <c r="L18" s="6">
        <f t="shared" si="4"/>
        <v>5362567.18</v>
      </c>
      <c r="M18" s="6">
        <f t="shared" si="5"/>
        <v>262765791.82</v>
      </c>
      <c r="N18" s="6">
        <v>500173164</v>
      </c>
      <c r="O18" s="6">
        <f t="shared" si="6"/>
        <v>10003463.28</v>
      </c>
      <c r="P18" s="6">
        <f t="shared" si="23"/>
        <v>490169700.72</v>
      </c>
      <c r="Q18" s="25">
        <v>303881037</v>
      </c>
      <c r="R18" s="25">
        <f t="shared" si="7"/>
        <v>6077620.74</v>
      </c>
      <c r="S18" s="25">
        <f t="shared" si="8"/>
        <v>297803416.26</v>
      </c>
      <c r="T18" s="25">
        <v>268045640</v>
      </c>
      <c r="U18" s="25">
        <f t="shared" si="25"/>
        <v>5360912.8</v>
      </c>
      <c r="V18" s="25">
        <f t="shared" si="26"/>
        <v>262684727.2</v>
      </c>
      <c r="W18" s="25">
        <v>268045640</v>
      </c>
      <c r="X18" s="25">
        <f t="shared" si="27"/>
        <v>5360912.8</v>
      </c>
      <c r="Y18" s="25">
        <f t="shared" si="28"/>
        <v>262684727.2</v>
      </c>
      <c r="Z18" s="25">
        <v>402068460</v>
      </c>
      <c r="AA18" s="25">
        <f t="shared" si="9"/>
        <v>8041369.2</v>
      </c>
      <c r="AB18" s="25">
        <f t="shared" si="10"/>
        <v>394027090.8</v>
      </c>
      <c r="AC18" s="25">
        <v>268045640</v>
      </c>
      <c r="AD18" s="25">
        <f t="shared" si="11"/>
        <v>5360912.8</v>
      </c>
      <c r="AE18" s="25">
        <f t="shared" si="12"/>
        <v>262684727.2</v>
      </c>
      <c r="AF18" s="25">
        <f>268045640+61309061</f>
        <v>329354701</v>
      </c>
      <c r="AG18" s="25">
        <f t="shared" si="13"/>
        <v>6587094.0200000005</v>
      </c>
      <c r="AH18" s="25">
        <f t="shared" si="14"/>
        <v>322767606.98</v>
      </c>
      <c r="AI18" s="25">
        <f>268045640</f>
        <v>268045640</v>
      </c>
      <c r="AJ18" s="25">
        <f t="shared" si="15"/>
        <v>5360912.8</v>
      </c>
      <c r="AK18" s="25">
        <f t="shared" si="16"/>
        <v>262684727.2</v>
      </c>
      <c r="AL18" s="6">
        <v>641690162</v>
      </c>
      <c r="AM18" s="25">
        <f t="shared" si="17"/>
        <v>12833803.24</v>
      </c>
      <c r="AN18" s="25">
        <f t="shared" si="18"/>
        <v>628856358.76</v>
      </c>
      <c r="AO18" s="25">
        <f>297828489+26275312</f>
        <v>324103801</v>
      </c>
      <c r="AP18" s="25">
        <f t="shared" si="19"/>
        <v>6482076.0200000005</v>
      </c>
      <c r="AQ18" s="25">
        <f t="shared" si="20"/>
        <v>317621724.98</v>
      </c>
      <c r="AR18" s="25">
        <f>266686729+261188100+706626978</f>
        <v>1234501807</v>
      </c>
      <c r="AS18" s="25">
        <f t="shared" si="29"/>
        <v>24690036.14</v>
      </c>
      <c r="AT18" s="25">
        <f t="shared" si="24"/>
        <v>1209811770.86</v>
      </c>
      <c r="AU18" s="25">
        <f t="shared" si="21"/>
        <v>5076084051</v>
      </c>
      <c r="AV18" s="58">
        <f t="shared" si="0"/>
        <v>0</v>
      </c>
      <c r="AW18" s="46">
        <f t="shared" si="22"/>
        <v>1</v>
      </c>
    </row>
    <row r="19" spans="1:49" ht="12">
      <c r="A19" s="39" t="s">
        <v>23</v>
      </c>
      <c r="B19" s="6">
        <v>3529929627</v>
      </c>
      <c r="C19" s="6">
        <v>7192942</v>
      </c>
      <c r="D19" s="6">
        <v>76743390</v>
      </c>
      <c r="E19" s="6">
        <f>230230169+1000000000</f>
        <v>1230230169</v>
      </c>
      <c r="F19" s="6">
        <v>2146644</v>
      </c>
      <c r="G19" s="31">
        <f t="shared" si="1"/>
        <v>1228083525</v>
      </c>
      <c r="H19" s="31">
        <v>1372039577</v>
      </c>
      <c r="I19" s="25">
        <f t="shared" si="2"/>
        <v>6199603177</v>
      </c>
      <c r="J19" s="6">
        <f t="shared" si="3"/>
        <v>123992063.54</v>
      </c>
      <c r="K19" s="28">
        <f>211364201+23557386</f>
        <v>234921587</v>
      </c>
      <c r="L19" s="6">
        <f t="shared" si="4"/>
        <v>4698431.74</v>
      </c>
      <c r="M19" s="6">
        <f t="shared" si="5"/>
        <v>230223155.26</v>
      </c>
      <c r="N19" s="6">
        <v>438228444</v>
      </c>
      <c r="O19" s="6">
        <f t="shared" si="6"/>
        <v>8764568.88</v>
      </c>
      <c r="P19" s="6">
        <f t="shared" si="23"/>
        <v>429463875.12</v>
      </c>
      <c r="Q19" s="25">
        <v>266246418</v>
      </c>
      <c r="R19" s="25">
        <f t="shared" si="7"/>
        <v>5324928.36</v>
      </c>
      <c r="S19" s="25">
        <f t="shared" si="8"/>
        <v>260921489.64</v>
      </c>
      <c r="T19" s="25">
        <v>234849112</v>
      </c>
      <c r="U19" s="25">
        <f t="shared" si="25"/>
        <v>4696982.24</v>
      </c>
      <c r="V19" s="25">
        <f t="shared" si="26"/>
        <v>230152129.76</v>
      </c>
      <c r="W19" s="25">
        <v>234849112</v>
      </c>
      <c r="X19" s="25">
        <f t="shared" si="27"/>
        <v>4696982.24</v>
      </c>
      <c r="Y19" s="25">
        <f t="shared" si="28"/>
        <v>230152129.76</v>
      </c>
      <c r="Z19" s="25">
        <v>552273668</v>
      </c>
      <c r="AA19" s="25">
        <f t="shared" si="9"/>
        <v>11045473.36</v>
      </c>
      <c r="AB19" s="25">
        <f t="shared" si="10"/>
        <v>541228194.64</v>
      </c>
      <c r="AC19" s="25">
        <f>234849112+57557543</f>
        <v>292406655</v>
      </c>
      <c r="AD19" s="25">
        <f t="shared" si="11"/>
        <v>5848133.100000001</v>
      </c>
      <c r="AE19" s="25">
        <v>0</v>
      </c>
      <c r="AF19" s="25">
        <f>234849112+11511509+150000000</f>
        <v>396360621</v>
      </c>
      <c r="AG19" s="25">
        <f t="shared" si="13"/>
        <v>7927212.42</v>
      </c>
      <c r="AH19" s="25">
        <f t="shared" si="14"/>
        <v>388433408.58</v>
      </c>
      <c r="AI19" s="25">
        <f>234849112</f>
        <v>234849112</v>
      </c>
      <c r="AJ19" s="25">
        <f t="shared" si="15"/>
        <v>4696982.24</v>
      </c>
      <c r="AK19" s="25">
        <f t="shared" si="16"/>
        <v>230152129.76</v>
      </c>
      <c r="AL19" s="6">
        <v>434849112</v>
      </c>
      <c r="AM19" s="25">
        <f t="shared" si="17"/>
        <v>8696982.24</v>
      </c>
      <c r="AN19" s="25">
        <f t="shared" si="18"/>
        <v>426152129.76</v>
      </c>
      <c r="AO19" s="25">
        <f>260943458+7674338</f>
        <v>268617796</v>
      </c>
      <c r="AP19" s="25">
        <f t="shared" si="19"/>
        <v>5372355.92</v>
      </c>
      <c r="AQ19" s="25">
        <f t="shared" si="20"/>
        <v>263245440.08</v>
      </c>
      <c r="AR19" s="25">
        <f>11028438+228083525+1000000000+1372039577</f>
        <v>2611151540</v>
      </c>
      <c r="AS19" s="25">
        <f t="shared" si="29"/>
        <v>52223030.800000004</v>
      </c>
      <c r="AT19" s="25">
        <f t="shared" si="24"/>
        <v>2558928509.2</v>
      </c>
      <c r="AU19" s="25">
        <f t="shared" si="21"/>
        <v>6199603177</v>
      </c>
      <c r="AV19" s="58">
        <f t="shared" si="0"/>
        <v>0</v>
      </c>
      <c r="AW19" s="46">
        <f t="shared" si="22"/>
        <v>1</v>
      </c>
    </row>
    <row r="20" spans="1:49" ht="12.75" thickBot="1">
      <c r="A20" s="40" t="s">
        <v>24</v>
      </c>
      <c r="B20" s="8">
        <v>978035008</v>
      </c>
      <c r="C20" s="8"/>
      <c r="D20" s="8">
        <v>21248465</v>
      </c>
      <c r="E20" s="8">
        <v>63745396</v>
      </c>
      <c r="F20" s="8">
        <v>0</v>
      </c>
      <c r="G20" s="31">
        <f t="shared" si="1"/>
        <v>63745396</v>
      </c>
      <c r="H20" s="31">
        <v>0</v>
      </c>
      <c r="I20" s="25">
        <f t="shared" si="2"/>
        <v>1063028869</v>
      </c>
      <c r="J20" s="8">
        <f t="shared" si="3"/>
        <v>21260577.38</v>
      </c>
      <c r="K20" s="29">
        <f>58682100+6540355</f>
        <v>65222455</v>
      </c>
      <c r="L20" s="8">
        <f t="shared" si="4"/>
        <v>1304449.1</v>
      </c>
      <c r="M20" s="8">
        <f t="shared" si="5"/>
        <v>63918005.9</v>
      </c>
      <c r="N20" s="8">
        <v>121667555</v>
      </c>
      <c r="O20" s="8">
        <f t="shared" si="6"/>
        <v>2433351.1</v>
      </c>
      <c r="P20" s="6">
        <f t="shared" si="23"/>
        <v>119234203.9</v>
      </c>
      <c r="Q20" s="25">
        <v>73919325</v>
      </c>
      <c r="R20" s="25">
        <f t="shared" si="7"/>
        <v>1478386.5</v>
      </c>
      <c r="S20" s="25">
        <f t="shared" si="8"/>
        <v>72440938.5</v>
      </c>
      <c r="T20" s="25">
        <v>65202334</v>
      </c>
      <c r="U20" s="25">
        <f t="shared" si="25"/>
        <v>1304046.68</v>
      </c>
      <c r="V20" s="25">
        <f t="shared" si="26"/>
        <v>63898287.32</v>
      </c>
      <c r="W20" s="25">
        <v>65202334</v>
      </c>
      <c r="X20" s="25">
        <f t="shared" si="27"/>
        <v>1304046.68</v>
      </c>
      <c r="Y20" s="25">
        <f t="shared" si="28"/>
        <v>63898287.32</v>
      </c>
      <c r="Z20" s="25">
        <v>97803501</v>
      </c>
      <c r="AA20" s="25">
        <f t="shared" si="9"/>
        <v>1956070.02</v>
      </c>
      <c r="AB20" s="25">
        <f t="shared" si="10"/>
        <v>95847430.98</v>
      </c>
      <c r="AC20" s="25">
        <f>65202334+15936349</f>
        <v>81138683</v>
      </c>
      <c r="AD20" s="25">
        <f t="shared" si="11"/>
        <v>1622773.6600000001</v>
      </c>
      <c r="AE20" s="25">
        <f t="shared" si="12"/>
        <v>79515909.34</v>
      </c>
      <c r="AF20" s="25">
        <f>65202334+3187270</f>
        <v>68389604</v>
      </c>
      <c r="AG20" s="25">
        <f t="shared" si="13"/>
        <v>1367792.08</v>
      </c>
      <c r="AH20" s="25">
        <f t="shared" si="14"/>
        <v>67021811.92</v>
      </c>
      <c r="AI20" s="25">
        <f>65202334</f>
        <v>65202334</v>
      </c>
      <c r="AJ20" s="25">
        <f t="shared" si="15"/>
        <v>1304046.68</v>
      </c>
      <c r="AK20" s="25">
        <f t="shared" si="16"/>
        <v>63898287.32</v>
      </c>
      <c r="AL20" s="8">
        <v>156097056</v>
      </c>
      <c r="AM20" s="25">
        <f t="shared" si="17"/>
        <v>3121941.12</v>
      </c>
      <c r="AN20" s="25">
        <f t="shared" si="18"/>
        <v>152975114.88</v>
      </c>
      <c r="AO20" s="25">
        <f>72447038+2124846</f>
        <v>74571884</v>
      </c>
      <c r="AP20" s="25">
        <f t="shared" si="19"/>
        <v>1491437.68</v>
      </c>
      <c r="AQ20" s="25">
        <f t="shared" si="20"/>
        <v>73080446.32</v>
      </c>
      <c r="AR20" s="25">
        <f>64866408+63745396</f>
        <v>128611804</v>
      </c>
      <c r="AS20" s="25">
        <f t="shared" si="29"/>
        <v>2572236.08</v>
      </c>
      <c r="AT20" s="25">
        <f t="shared" si="24"/>
        <v>126039567.92</v>
      </c>
      <c r="AU20" s="25">
        <f t="shared" si="21"/>
        <v>1063028869</v>
      </c>
      <c r="AV20" s="58">
        <f t="shared" si="0"/>
        <v>0</v>
      </c>
      <c r="AW20" s="47">
        <f t="shared" si="22"/>
        <v>1</v>
      </c>
    </row>
    <row r="21" spans="1:49" ht="13.5" thickBot="1" thickTop="1">
      <c r="A21" s="2" t="s">
        <v>1</v>
      </c>
      <c r="B21" s="3">
        <f>SUM(B4:B20)</f>
        <v>786032520858</v>
      </c>
      <c r="C21" s="4">
        <f>SUM(C4:C19)</f>
        <v>1687913166</v>
      </c>
      <c r="D21" s="21">
        <f aca="true" t="shared" si="30" ref="D21:L21">SUM(D4:D20)</f>
        <v>14362288813</v>
      </c>
      <c r="E21" s="21">
        <f t="shared" si="30"/>
        <v>44086866440</v>
      </c>
      <c r="F21" s="21">
        <f t="shared" si="30"/>
        <v>135171695</v>
      </c>
      <c r="G21" s="21">
        <f t="shared" si="30"/>
        <v>43951694745</v>
      </c>
      <c r="H21" s="21">
        <f>SUM(H4:H20)</f>
        <v>8398618705</v>
      </c>
      <c r="I21" s="4">
        <f t="shared" si="30"/>
        <v>851057209955</v>
      </c>
      <c r="J21" s="4">
        <f t="shared" si="30"/>
        <v>17021144199.1</v>
      </c>
      <c r="K21" s="22">
        <f t="shared" si="30"/>
        <v>52305744003</v>
      </c>
      <c r="L21" s="4">
        <f t="shared" si="30"/>
        <v>1046114880.06</v>
      </c>
      <c r="M21" s="4">
        <f t="shared" si="5"/>
        <v>51259629122.94</v>
      </c>
      <c r="N21" s="4">
        <f aca="true" t="shared" si="31" ref="N21:S21">SUM(N4:N20)</f>
        <v>97572469196</v>
      </c>
      <c r="O21" s="4">
        <f t="shared" si="31"/>
        <v>1951449383.9200003</v>
      </c>
      <c r="P21" s="4">
        <f t="shared" si="31"/>
        <v>95621019812.07999</v>
      </c>
      <c r="Q21" s="4">
        <f t="shared" si="31"/>
        <v>59280348852</v>
      </c>
      <c r="R21" s="4">
        <f t="shared" si="31"/>
        <v>1185606977.0399997</v>
      </c>
      <c r="S21" s="4">
        <f t="shared" si="31"/>
        <v>58094741874.95999</v>
      </c>
      <c r="T21" s="4">
        <f aca="true" t="shared" si="32" ref="T21:Y21">SUM(T4:T20)</f>
        <v>36029092265</v>
      </c>
      <c r="U21" s="4">
        <f t="shared" si="32"/>
        <v>720581845.3</v>
      </c>
      <c r="V21" s="4">
        <f t="shared" si="32"/>
        <v>35308510419.7</v>
      </c>
      <c r="W21" s="4">
        <f t="shared" si="32"/>
        <v>52400414699</v>
      </c>
      <c r="X21" s="4">
        <f t="shared" si="32"/>
        <v>1048008293.9799999</v>
      </c>
      <c r="Y21" s="4">
        <f t="shared" si="32"/>
        <v>51352406405.020004</v>
      </c>
      <c r="Z21" s="4">
        <f>SUM(Z4:Z20)</f>
        <v>95222118526</v>
      </c>
      <c r="AA21" s="4">
        <f>SUM(AA4:AA20)</f>
        <v>1904442370.5199997</v>
      </c>
      <c r="AB21" s="4">
        <f>SUM(AB4:AB20)</f>
        <v>93317676155.48</v>
      </c>
      <c r="AC21" s="4">
        <f>SUM(AC4:AC20)</f>
        <v>58942751010</v>
      </c>
      <c r="AD21" s="4">
        <f>SUM(AD4:AD20)</f>
        <v>1178855020.2</v>
      </c>
      <c r="AE21" s="4">
        <f t="shared" si="12"/>
        <v>57763895989.8</v>
      </c>
      <c r="AF21" s="4">
        <f>SUM(AF4:AF20)</f>
        <v>56918429813</v>
      </c>
      <c r="AG21" s="4">
        <f>SUM(AG4:AG20)</f>
        <v>1138368596.26</v>
      </c>
      <c r="AH21" s="4">
        <f>SUM(AH4:AH20)</f>
        <v>55780061216.74001</v>
      </c>
      <c r="AI21" s="4">
        <f>SUM(AI4:AI20)</f>
        <v>52295436633</v>
      </c>
      <c r="AJ21" s="4">
        <f>SUM(AJ4:AJ20)</f>
        <v>1045908732.66</v>
      </c>
      <c r="AK21" s="4">
        <f t="shared" si="16"/>
        <v>51249527900.34</v>
      </c>
      <c r="AL21" s="4">
        <f aca="true" t="shared" si="33" ref="AL21:AU21">SUM(AL4:AL20)</f>
        <v>114348558097</v>
      </c>
      <c r="AM21" s="4">
        <f t="shared" si="33"/>
        <v>2286971161.939999</v>
      </c>
      <c r="AN21" s="4">
        <f t="shared" si="33"/>
        <v>112061586935.06001</v>
      </c>
      <c r="AO21" s="4">
        <f t="shared" si="33"/>
        <v>65268729926</v>
      </c>
      <c r="AP21" s="4">
        <f t="shared" si="33"/>
        <v>1305374598.52</v>
      </c>
      <c r="AQ21" s="4">
        <f t="shared" si="33"/>
        <v>63963355327.48</v>
      </c>
      <c r="AR21" s="4">
        <f>SUM(AR4:AR20)</f>
        <v>110473116935</v>
      </c>
      <c r="AS21" s="4">
        <f>SUM(AS4:AS20)</f>
        <v>2060206347.04</v>
      </c>
      <c r="AT21" s="4">
        <f t="shared" si="24"/>
        <v>108412910587.96</v>
      </c>
      <c r="AU21" s="4">
        <f t="shared" si="33"/>
        <v>851057209955</v>
      </c>
      <c r="AV21" s="59">
        <f>SUM(AV4:AV20)</f>
        <v>0</v>
      </c>
      <c r="AW21" s="48" t="s">
        <v>2</v>
      </c>
    </row>
    <row r="22" spans="1:49" s="37" customFormat="1" ht="15.75" customHeight="1" thickBot="1" thickTop="1">
      <c r="A22" s="1" t="s">
        <v>47</v>
      </c>
      <c r="B22" s="11" t="s">
        <v>10</v>
      </c>
      <c r="C22" s="11" t="s">
        <v>5</v>
      </c>
      <c r="D22" s="11" t="s">
        <v>68</v>
      </c>
      <c r="E22" s="11" t="s">
        <v>82</v>
      </c>
      <c r="F22" s="11"/>
      <c r="G22" s="11" t="s">
        <v>84</v>
      </c>
      <c r="H22" s="11" t="s">
        <v>86</v>
      </c>
      <c r="I22" s="11" t="s">
        <v>48</v>
      </c>
      <c r="J22" s="23" t="s">
        <v>0</v>
      </c>
      <c r="K22" s="1" t="s">
        <v>6</v>
      </c>
      <c r="L22" s="1" t="s">
        <v>0</v>
      </c>
      <c r="M22" s="1" t="s">
        <v>50</v>
      </c>
      <c r="N22" s="1" t="s">
        <v>56</v>
      </c>
      <c r="O22" s="1" t="s">
        <v>0</v>
      </c>
      <c r="P22" s="1" t="s">
        <v>55</v>
      </c>
      <c r="Q22" s="1" t="s">
        <v>60</v>
      </c>
      <c r="R22" s="1" t="s">
        <v>0</v>
      </c>
      <c r="S22" s="1" t="s">
        <v>59</v>
      </c>
      <c r="T22" s="1" t="s">
        <v>61</v>
      </c>
      <c r="U22" s="1" t="s">
        <v>0</v>
      </c>
      <c r="V22" s="1" t="s">
        <v>62</v>
      </c>
      <c r="W22" s="1" t="s">
        <v>63</v>
      </c>
      <c r="X22" s="1" t="s">
        <v>0</v>
      </c>
      <c r="Y22" s="1" t="s">
        <v>64</v>
      </c>
      <c r="Z22" s="1" t="s">
        <v>65</v>
      </c>
      <c r="AA22" s="1" t="s">
        <v>0</v>
      </c>
      <c r="AB22" s="1" t="s">
        <v>66</v>
      </c>
      <c r="AC22" s="1" t="s">
        <v>67</v>
      </c>
      <c r="AD22" s="1" t="s">
        <v>58</v>
      </c>
      <c r="AE22" s="1" t="s">
        <v>88</v>
      </c>
      <c r="AF22" s="1" t="s">
        <v>71</v>
      </c>
      <c r="AG22" s="1" t="s">
        <v>0</v>
      </c>
      <c r="AH22" s="1" t="s">
        <v>74</v>
      </c>
      <c r="AI22" s="1" t="s">
        <v>72</v>
      </c>
      <c r="AJ22" s="1" t="s">
        <v>0</v>
      </c>
      <c r="AK22" s="1" t="s">
        <v>73</v>
      </c>
      <c r="AL22" s="1" t="s">
        <v>75</v>
      </c>
      <c r="AM22" s="1" t="s">
        <v>0</v>
      </c>
      <c r="AN22" s="1" t="s">
        <v>76</v>
      </c>
      <c r="AO22" s="1" t="s">
        <v>77</v>
      </c>
      <c r="AP22" s="1" t="s">
        <v>0</v>
      </c>
      <c r="AQ22" s="1" t="s">
        <v>78</v>
      </c>
      <c r="AR22" s="1" t="s">
        <v>79</v>
      </c>
      <c r="AS22" s="1" t="s">
        <v>0</v>
      </c>
      <c r="AT22" s="1" t="s">
        <v>80</v>
      </c>
      <c r="AU22" s="1" t="s">
        <v>81</v>
      </c>
      <c r="AV22" s="33" t="s">
        <v>87</v>
      </c>
      <c r="AW22" s="1" t="s">
        <v>69</v>
      </c>
    </row>
    <row r="23" spans="1:49" ht="12.75" thickTop="1">
      <c r="A23" s="38" t="s">
        <v>25</v>
      </c>
      <c r="B23" s="9">
        <v>144521956120</v>
      </c>
      <c r="C23" s="5"/>
      <c r="D23" s="9">
        <v>3141768637</v>
      </c>
      <c r="E23" s="52">
        <v>9425305911</v>
      </c>
      <c r="F23" s="52">
        <v>0</v>
      </c>
      <c r="G23" s="52">
        <f>E23-F23</f>
        <v>9425305911</v>
      </c>
      <c r="H23" s="52">
        <v>585837531</v>
      </c>
      <c r="I23" s="25">
        <f>B23-C23+D23+G23+H23</f>
        <v>157674868199</v>
      </c>
      <c r="J23" s="5">
        <f>I23*2%</f>
        <v>3153497363.98</v>
      </c>
      <c r="K23" s="5">
        <f>8671317367+966453006</f>
        <v>9637770373</v>
      </c>
      <c r="L23" s="5">
        <f>K23*2%</f>
        <v>192755407.46</v>
      </c>
      <c r="M23" s="5">
        <f>K23-L23</f>
        <v>9445014965.54</v>
      </c>
      <c r="N23" s="5">
        <v>17978531341</v>
      </c>
      <c r="O23" s="5">
        <f>N23*2%</f>
        <v>359570626.82</v>
      </c>
      <c r="P23" s="5">
        <f>N23-O23</f>
        <v>17618960714.18</v>
      </c>
      <c r="Q23" s="25">
        <v>10922886585</v>
      </c>
      <c r="R23" s="25">
        <f>Q23*2%</f>
        <v>218457731.70000002</v>
      </c>
      <c r="S23" s="25">
        <f>Q23-R23</f>
        <v>10704428853.3</v>
      </c>
      <c r="T23" s="25">
        <v>9634797075</v>
      </c>
      <c r="U23" s="25">
        <f>T23*2%</f>
        <v>192695941.5</v>
      </c>
      <c r="V23" s="25">
        <f>T23-U23</f>
        <v>9442101133.5</v>
      </c>
      <c r="W23" s="25">
        <v>9634797075</v>
      </c>
      <c r="X23" s="25">
        <f>W23*2%</f>
        <v>192695941.5</v>
      </c>
      <c r="Y23" s="25">
        <f>W23-X23</f>
        <v>9442101133.5</v>
      </c>
      <c r="Z23" s="25">
        <v>14452195613</v>
      </c>
      <c r="AA23" s="25">
        <f>Z23*2%</f>
        <v>289043912.26</v>
      </c>
      <c r="AB23" s="25">
        <f>Z23-AA23</f>
        <v>14163151700.74</v>
      </c>
      <c r="AC23" s="25">
        <f>9634797075+2356326478</f>
        <v>11991123553</v>
      </c>
      <c r="AD23" s="25">
        <f>AC23*2%</f>
        <v>239822471.06</v>
      </c>
      <c r="AE23" s="25">
        <f>AC23-AD23</f>
        <v>11751301081.94</v>
      </c>
      <c r="AF23" s="25">
        <f>9634797075+471265296</f>
        <v>10106062371</v>
      </c>
      <c r="AG23" s="25">
        <f>AF23*2%</f>
        <v>202121247.42000002</v>
      </c>
      <c r="AH23" s="25">
        <f>AF23-AG23</f>
        <v>9903941123.58</v>
      </c>
      <c r="AI23" s="25">
        <f>9634797075</f>
        <v>9634797075</v>
      </c>
      <c r="AJ23" s="25">
        <f>AI23*2%</f>
        <v>192695941.5</v>
      </c>
      <c r="AK23" s="25">
        <f>AI23-AJ23</f>
        <v>9442101133.5</v>
      </c>
      <c r="AL23" s="25">
        <v>23065914886</v>
      </c>
      <c r="AM23" s="25">
        <f>AL23*2%</f>
        <v>461318297.72</v>
      </c>
      <c r="AN23" s="25">
        <f>AL23-AM23</f>
        <v>22604596588.28</v>
      </c>
      <c r="AO23" s="25">
        <v>10705330083</v>
      </c>
      <c r="AP23" s="25">
        <f>AO23*2%</f>
        <v>214106601.66</v>
      </c>
      <c r="AQ23" s="25">
        <f>AO23-AP23</f>
        <v>10491223481.34</v>
      </c>
      <c r="AR23" s="25">
        <f>9899518727+9425305911+585837531</f>
        <v>19910662169</v>
      </c>
      <c r="AS23" s="25">
        <f>AR23*2%</f>
        <v>398213243.38</v>
      </c>
      <c r="AT23" s="25">
        <f>AR23-AS23</f>
        <v>19512448925.62</v>
      </c>
      <c r="AU23" s="25">
        <f>K23+N23+Q23+T23+W23+Z23+AC23+AF23+AI23+AL23+AO23+AR23</f>
        <v>157674868199</v>
      </c>
      <c r="AV23" s="31">
        <f>I23-AU23</f>
        <v>0</v>
      </c>
      <c r="AW23" s="46">
        <f t="shared" si="22"/>
        <v>1</v>
      </c>
    </row>
    <row r="24" spans="1:49" ht="12">
      <c r="A24" s="39" t="s">
        <v>26</v>
      </c>
      <c r="B24" s="10">
        <v>40043680653</v>
      </c>
      <c r="C24" s="6"/>
      <c r="D24" s="10">
        <v>870523404</v>
      </c>
      <c r="E24" s="10">
        <v>2611570212</v>
      </c>
      <c r="F24" s="10"/>
      <c r="G24" s="52">
        <f aca="true" t="shared" si="34" ref="G24:G39">E24-F24</f>
        <v>2611570212</v>
      </c>
      <c r="H24" s="52">
        <v>110826720</v>
      </c>
      <c r="I24" s="25">
        <f aca="true" t="shared" si="35" ref="I24:I39">B24-C24+D24+G24+H24</f>
        <v>43636600989</v>
      </c>
      <c r="J24" s="6">
        <f>I24*2%</f>
        <v>872732019.78</v>
      </c>
      <c r="K24" s="6">
        <f>2402620839+267781703</f>
        <v>2670402542</v>
      </c>
      <c r="L24" s="6">
        <f aca="true" t="shared" si="36" ref="L24:L39">K24*2%</f>
        <v>53408050.84</v>
      </c>
      <c r="M24" s="6">
        <f aca="true" t="shared" si="37" ref="M24:M39">K24-L24</f>
        <v>2616994491.16</v>
      </c>
      <c r="N24" s="6">
        <v>4981805196</v>
      </c>
      <c r="O24" s="6">
        <f>N24*2%</f>
        <v>99636103.92</v>
      </c>
      <c r="P24" s="6">
        <f>N24-O24</f>
        <v>4882169092.08</v>
      </c>
      <c r="Q24" s="25">
        <v>3026107103</v>
      </c>
      <c r="R24" s="25">
        <f aca="true" t="shared" si="38" ref="R24:R39">Q24*2%</f>
        <v>60522142.06</v>
      </c>
      <c r="S24" s="25">
        <f aca="true" t="shared" si="39" ref="S24:S39">Q24-R24</f>
        <v>2965584960.94</v>
      </c>
      <c r="T24" s="25">
        <v>2669578710</v>
      </c>
      <c r="U24" s="25">
        <f aca="true" t="shared" si="40" ref="U24:U39">T24*2%</f>
        <v>53391574.2</v>
      </c>
      <c r="V24" s="25">
        <f aca="true" t="shared" si="41" ref="V24:V39">T24-U24</f>
        <v>2616187135.8</v>
      </c>
      <c r="W24" s="25">
        <v>2669578710</v>
      </c>
      <c r="X24" s="25">
        <f aca="true" t="shared" si="42" ref="X24:X39">W24*2%</f>
        <v>53391574.2</v>
      </c>
      <c r="Y24" s="25">
        <f aca="true" t="shared" si="43" ref="Y24:Y39">W24-X24</f>
        <v>2616187135.8</v>
      </c>
      <c r="Z24" s="25">
        <v>4004368065</v>
      </c>
      <c r="AA24" s="25">
        <f aca="true" t="shared" si="44" ref="AA24:AA39">Z24*2%</f>
        <v>80087361.3</v>
      </c>
      <c r="AB24" s="25">
        <f aca="true" t="shared" si="45" ref="AB24:AB39">Z24-AA24</f>
        <v>3924280703.7</v>
      </c>
      <c r="AC24" s="25">
        <f>2669578710+652892553</f>
        <v>3322471263</v>
      </c>
      <c r="AD24" s="25">
        <f aca="true" t="shared" si="46" ref="AD24:AD39">AC24*2%</f>
        <v>66449425.26</v>
      </c>
      <c r="AE24" s="25">
        <f aca="true" t="shared" si="47" ref="AE24:AE39">AC24-AD24</f>
        <v>3256021837.74</v>
      </c>
      <c r="AF24" s="25">
        <f>2669578710+130578511</f>
        <v>2800157221</v>
      </c>
      <c r="AG24" s="25">
        <f aca="true" t="shared" si="48" ref="AG24:AG39">AF24*2%</f>
        <v>56003144.42</v>
      </c>
      <c r="AH24" s="25">
        <f aca="true" t="shared" si="49" ref="AH24:AH39">AF24-AG24</f>
        <v>2744154076.58</v>
      </c>
      <c r="AI24" s="25">
        <f>2669578710</f>
        <v>2669578710</v>
      </c>
      <c r="AJ24" s="25">
        <f aca="true" t="shared" si="50" ref="AJ24:AJ39">AI24*2%</f>
        <v>53391574.2</v>
      </c>
      <c r="AK24" s="25">
        <f aca="true" t="shared" si="51" ref="AK24:AK40">AI24-AJ24</f>
        <v>2616187135.8</v>
      </c>
      <c r="AL24" s="25">
        <v>6391028649</v>
      </c>
      <c r="AM24" s="25">
        <f aca="true" t="shared" si="52" ref="AM24:AM39">AL24*2%</f>
        <v>127820572.98</v>
      </c>
      <c r="AN24" s="25">
        <f aca="true" t="shared" si="53" ref="AN24:AN39">AL24-AM24</f>
        <v>6263208076.02</v>
      </c>
      <c r="AO24" s="25">
        <v>2966198567</v>
      </c>
      <c r="AP24" s="25">
        <f aca="true" t="shared" si="54" ref="AP24:AP39">AO24*2%</f>
        <v>59323971.34</v>
      </c>
      <c r="AQ24" s="25">
        <f aca="true" t="shared" si="55" ref="AQ24:AQ39">AO24-AP24</f>
        <v>2906874595.66</v>
      </c>
      <c r="AR24" s="25">
        <f>2742929321+2611570212+110826720</f>
        <v>5465326253</v>
      </c>
      <c r="AS24" s="25">
        <f>AR24*2%</f>
        <v>109306525.06</v>
      </c>
      <c r="AT24" s="25">
        <f>AR24-AS24</f>
        <v>5356019727.94</v>
      </c>
      <c r="AU24" s="25">
        <f>K24+N24+Q24+T24+W24+Z24+AC24+AF24+AI24+AL24+AO24+AR24</f>
        <v>43636600989</v>
      </c>
      <c r="AV24" s="32">
        <f aca="true" t="shared" si="56" ref="AV24:AV39">SUM(I24-AU24)</f>
        <v>0</v>
      </c>
      <c r="AW24" s="46">
        <f t="shared" si="22"/>
        <v>1</v>
      </c>
    </row>
    <row r="25" spans="1:49" ht="12">
      <c r="A25" s="39" t="s">
        <v>27</v>
      </c>
      <c r="B25" s="10">
        <v>30047304223</v>
      </c>
      <c r="C25" s="6"/>
      <c r="D25" s="10">
        <v>653197811</v>
      </c>
      <c r="E25" s="10">
        <v>1959593432</v>
      </c>
      <c r="F25" s="10"/>
      <c r="G25" s="52">
        <f t="shared" si="34"/>
        <v>1959593432</v>
      </c>
      <c r="H25" s="52">
        <v>582847211</v>
      </c>
      <c r="I25" s="25">
        <f t="shared" si="35"/>
        <v>33242942677</v>
      </c>
      <c r="J25" s="6">
        <f aca="true" t="shared" si="57" ref="J25:J39">I25*2%</f>
        <v>664858853.54</v>
      </c>
      <c r="K25" s="6">
        <f>1802838253+200933535</f>
        <v>2003771788</v>
      </c>
      <c r="L25" s="6">
        <f t="shared" si="36"/>
        <v>40075435.76</v>
      </c>
      <c r="M25" s="6">
        <f t="shared" si="37"/>
        <v>1963696352.24</v>
      </c>
      <c r="N25" s="6">
        <v>3737884645</v>
      </c>
      <c r="O25" s="6">
        <f aca="true" t="shared" si="58" ref="O25:O39">N25*2%</f>
        <v>74757692.9</v>
      </c>
      <c r="P25" s="6">
        <f aca="true" t="shared" si="59" ref="P25:P39">N25-O25</f>
        <v>3663126952.1</v>
      </c>
      <c r="Q25" s="25">
        <v>2270958026</v>
      </c>
      <c r="R25" s="25">
        <f t="shared" si="38"/>
        <v>45419160.52</v>
      </c>
      <c r="S25" s="25">
        <f t="shared" si="39"/>
        <v>2225538865.48</v>
      </c>
      <c r="T25" s="25">
        <v>2003153615</v>
      </c>
      <c r="U25" s="25">
        <f t="shared" si="40"/>
        <v>40063072.300000004</v>
      </c>
      <c r="V25" s="25">
        <f t="shared" si="41"/>
        <v>1963090542.7</v>
      </c>
      <c r="W25" s="25">
        <v>2003153615</v>
      </c>
      <c r="X25" s="25">
        <f t="shared" si="42"/>
        <v>40063072.300000004</v>
      </c>
      <c r="Y25" s="25">
        <f t="shared" si="43"/>
        <v>1963090542.7</v>
      </c>
      <c r="Z25" s="25">
        <v>3004730423</v>
      </c>
      <c r="AA25" s="25">
        <f t="shared" si="44"/>
        <v>60094608.46</v>
      </c>
      <c r="AB25" s="25">
        <f t="shared" si="45"/>
        <v>2944635814.54</v>
      </c>
      <c r="AC25" s="25">
        <v>2003153615</v>
      </c>
      <c r="AD25" s="25">
        <f t="shared" si="46"/>
        <v>40063072.300000004</v>
      </c>
      <c r="AE25" s="25">
        <f t="shared" si="47"/>
        <v>1963090542.7</v>
      </c>
      <c r="AF25" s="25">
        <f>2003153615+292632619</f>
        <v>2295786234</v>
      </c>
      <c r="AG25" s="25">
        <f t="shared" si="48"/>
        <v>45915724.68</v>
      </c>
      <c r="AH25" s="25">
        <f t="shared" si="49"/>
        <v>2249870509.32</v>
      </c>
      <c r="AI25" s="25">
        <f>2003153615</f>
        <v>2003153615</v>
      </c>
      <c r="AJ25" s="25">
        <f t="shared" si="50"/>
        <v>40063072.300000004</v>
      </c>
      <c r="AK25" s="25">
        <f t="shared" si="51"/>
        <v>1963090542.7</v>
      </c>
      <c r="AL25" s="25">
        <v>4795593724</v>
      </c>
      <c r="AM25" s="25">
        <f t="shared" si="52"/>
        <v>95911874.48</v>
      </c>
      <c r="AN25" s="25">
        <f t="shared" si="53"/>
        <v>4699681849.52</v>
      </c>
      <c r="AO25" s="25">
        <v>2225726239</v>
      </c>
      <c r="AP25" s="25">
        <f t="shared" si="54"/>
        <v>44514524.78</v>
      </c>
      <c r="AQ25" s="25">
        <f t="shared" si="55"/>
        <v>2181211714.22</v>
      </c>
      <c r="AR25" s="25">
        <f>2353436495+1959593432+582847211</f>
        <v>4895877138</v>
      </c>
      <c r="AS25" s="25">
        <f aca="true" t="shared" si="60" ref="AS25:AS39">AR25*2%</f>
        <v>97917542.76</v>
      </c>
      <c r="AT25" s="25">
        <f aca="true" t="shared" si="61" ref="AT25:AT40">AR25-AS25</f>
        <v>4797959595.24</v>
      </c>
      <c r="AU25" s="25">
        <f aca="true" t="shared" si="62" ref="AU25:AU39">K25+N25+Q25+T25+W25+Z25+AC25+AF25+AI25+AL25+AO25+AR25</f>
        <v>33242942677</v>
      </c>
      <c r="AV25" s="32">
        <f t="shared" si="56"/>
        <v>0</v>
      </c>
      <c r="AW25" s="46">
        <f t="shared" si="22"/>
        <v>1</v>
      </c>
    </row>
    <row r="26" spans="1:49" ht="12">
      <c r="A26" s="39" t="s">
        <v>46</v>
      </c>
      <c r="B26" s="10">
        <v>13913340011</v>
      </c>
      <c r="C26" s="6"/>
      <c r="D26" s="10">
        <v>302464148</v>
      </c>
      <c r="E26" s="10">
        <v>907392443</v>
      </c>
      <c r="F26" s="10"/>
      <c r="G26" s="52">
        <f t="shared" si="34"/>
        <v>907392443</v>
      </c>
      <c r="H26" s="52">
        <v>544673961</v>
      </c>
      <c r="I26" s="25">
        <f t="shared" si="35"/>
        <v>15667870563</v>
      </c>
      <c r="J26" s="6">
        <f t="shared" si="57"/>
        <v>313357411.26</v>
      </c>
      <c r="K26" s="6">
        <f>834800401+93041844</f>
        <v>927842245</v>
      </c>
      <c r="L26" s="6">
        <f t="shared" si="36"/>
        <v>18556844.900000002</v>
      </c>
      <c r="M26" s="6">
        <f t="shared" si="37"/>
        <v>909285400.1</v>
      </c>
      <c r="N26" s="6">
        <v>1730819497</v>
      </c>
      <c r="O26" s="6">
        <f t="shared" si="58"/>
        <v>34616389.94</v>
      </c>
      <c r="P26" s="6">
        <f t="shared" si="59"/>
        <v>1696203107.06</v>
      </c>
      <c r="Q26" s="25">
        <v>1051562261</v>
      </c>
      <c r="R26" s="25">
        <f t="shared" si="38"/>
        <v>21031245.22</v>
      </c>
      <c r="S26" s="25">
        <f t="shared" si="39"/>
        <v>1030531015.78</v>
      </c>
      <c r="T26" s="25">
        <v>927556001</v>
      </c>
      <c r="U26" s="25">
        <f t="shared" si="40"/>
        <v>18551120.02</v>
      </c>
      <c r="V26" s="25">
        <f t="shared" si="41"/>
        <v>909004880.98</v>
      </c>
      <c r="W26" s="25">
        <v>927556001</v>
      </c>
      <c r="X26" s="25">
        <f t="shared" si="42"/>
        <v>18551120.02</v>
      </c>
      <c r="Y26" s="25">
        <f t="shared" si="43"/>
        <v>909004880.98</v>
      </c>
      <c r="Z26" s="25">
        <v>1391334002</v>
      </c>
      <c r="AA26" s="25">
        <f t="shared" si="44"/>
        <v>27826680.04</v>
      </c>
      <c r="AB26" s="25">
        <f t="shared" si="45"/>
        <v>1363507321.96</v>
      </c>
      <c r="AC26" s="25">
        <f>927556001+226848111</f>
        <v>1154404112</v>
      </c>
      <c r="AD26" s="25">
        <f t="shared" si="46"/>
        <v>23088082.240000002</v>
      </c>
      <c r="AE26" s="25">
        <f t="shared" si="47"/>
        <v>1131316029.76</v>
      </c>
      <c r="AF26" s="25">
        <f>927556001+45369622</f>
        <v>972925623</v>
      </c>
      <c r="AG26" s="25">
        <f t="shared" si="48"/>
        <v>19458512.46</v>
      </c>
      <c r="AH26" s="25">
        <f t="shared" si="49"/>
        <v>953467110.54</v>
      </c>
      <c r="AI26" s="25">
        <f>927556001</f>
        <v>927556001</v>
      </c>
      <c r="AJ26" s="25">
        <f t="shared" si="50"/>
        <v>18551120.02</v>
      </c>
      <c r="AK26" s="25">
        <f t="shared" si="51"/>
        <v>909004880.98</v>
      </c>
      <c r="AL26" s="25">
        <v>2220589208</v>
      </c>
      <c r="AM26" s="25">
        <f t="shared" si="52"/>
        <v>44411784.160000004</v>
      </c>
      <c r="AN26" s="25">
        <f t="shared" si="53"/>
        <v>2176177423.84</v>
      </c>
      <c r="AO26" s="25">
        <v>1030617779</v>
      </c>
      <c r="AP26" s="25">
        <f t="shared" si="54"/>
        <v>20612355.580000002</v>
      </c>
      <c r="AQ26" s="25">
        <f t="shared" si="55"/>
        <v>1010005423.42</v>
      </c>
      <c r="AR26" s="25">
        <f>953041429+907392443+544673961</f>
        <v>2405107833</v>
      </c>
      <c r="AS26" s="25">
        <f t="shared" si="60"/>
        <v>48102156.660000004</v>
      </c>
      <c r="AT26" s="25">
        <f t="shared" si="61"/>
        <v>2357005676.34</v>
      </c>
      <c r="AU26" s="25">
        <f t="shared" si="62"/>
        <v>15667870563</v>
      </c>
      <c r="AV26" s="32">
        <f t="shared" si="56"/>
        <v>0</v>
      </c>
      <c r="AW26" s="46">
        <f t="shared" si="22"/>
        <v>1</v>
      </c>
    </row>
    <row r="27" spans="1:49" ht="12">
      <c r="A27" s="39" t="s">
        <v>28</v>
      </c>
      <c r="B27" s="10">
        <v>57533872426</v>
      </c>
      <c r="C27" s="6"/>
      <c r="D27" s="10">
        <v>1250737264</v>
      </c>
      <c r="E27" s="10">
        <v>3752211793</v>
      </c>
      <c r="F27" s="10"/>
      <c r="G27" s="52">
        <f t="shared" si="34"/>
        <v>3752211793</v>
      </c>
      <c r="H27" s="52">
        <v>285071823</v>
      </c>
      <c r="I27" s="25">
        <f t="shared" si="35"/>
        <v>62821893306</v>
      </c>
      <c r="J27" s="6">
        <f t="shared" si="57"/>
        <v>1256437866.1200001</v>
      </c>
      <c r="K27" s="6">
        <f>3452032346+384742813</f>
        <v>3836775159</v>
      </c>
      <c r="L27" s="6">
        <f t="shared" si="36"/>
        <v>76735503.18</v>
      </c>
      <c r="M27" s="6">
        <f t="shared" si="37"/>
        <v>3760039655.82</v>
      </c>
      <c r="N27" s="6">
        <v>7157213730</v>
      </c>
      <c r="O27" s="6">
        <f t="shared" si="58"/>
        <v>143144274.6</v>
      </c>
      <c r="P27" s="6">
        <f t="shared" si="59"/>
        <v>7014069455.4</v>
      </c>
      <c r="Q27" s="25">
        <v>4348377091</v>
      </c>
      <c r="R27" s="25">
        <f t="shared" si="38"/>
        <v>86967541.82000001</v>
      </c>
      <c r="S27" s="25">
        <f t="shared" si="39"/>
        <v>4261409549.18</v>
      </c>
      <c r="T27" s="25">
        <v>3835591495</v>
      </c>
      <c r="U27" s="25">
        <f t="shared" si="40"/>
        <v>76711829.9</v>
      </c>
      <c r="V27" s="25">
        <f t="shared" si="41"/>
        <v>3758879665.1</v>
      </c>
      <c r="W27" s="25">
        <v>3835591495</v>
      </c>
      <c r="X27" s="25">
        <f t="shared" si="42"/>
        <v>76711829.9</v>
      </c>
      <c r="Y27" s="25">
        <f t="shared" si="43"/>
        <v>3758879665.1</v>
      </c>
      <c r="Z27" s="25">
        <v>5753387243</v>
      </c>
      <c r="AA27" s="25">
        <f t="shared" si="44"/>
        <v>115067744.86</v>
      </c>
      <c r="AB27" s="25">
        <f t="shared" si="45"/>
        <v>5638319498.14</v>
      </c>
      <c r="AC27" s="25">
        <f>3835591495+938052948</f>
        <v>4773644443</v>
      </c>
      <c r="AD27" s="25">
        <f t="shared" si="46"/>
        <v>95472888.86</v>
      </c>
      <c r="AE27" s="25">
        <f t="shared" si="47"/>
        <v>4678171554.14</v>
      </c>
      <c r="AF27" s="25">
        <f>3835591495+187610590</f>
        <v>4023202085</v>
      </c>
      <c r="AG27" s="25">
        <f t="shared" si="48"/>
        <v>80464041.7</v>
      </c>
      <c r="AH27" s="25">
        <f t="shared" si="49"/>
        <v>3942738043.3</v>
      </c>
      <c r="AI27" s="25">
        <f>3835591495+2120000000</f>
        <v>5955591495</v>
      </c>
      <c r="AJ27" s="25">
        <f t="shared" si="50"/>
        <v>119111829.9</v>
      </c>
      <c r="AK27" s="25">
        <f t="shared" si="51"/>
        <v>5836479665.1</v>
      </c>
      <c r="AL27" s="25">
        <f>6435591495+2606472038</f>
        <v>9042063533</v>
      </c>
      <c r="AM27" s="25">
        <f t="shared" si="52"/>
        <v>180841270.66</v>
      </c>
      <c r="AN27" s="25">
        <f t="shared" si="53"/>
        <v>8861222262.34</v>
      </c>
      <c r="AO27" s="25">
        <f>4261768328+1836329867+125073726+3752211793</f>
        <v>9975383714</v>
      </c>
      <c r="AP27" s="25">
        <f t="shared" si="54"/>
        <v>199507674.28</v>
      </c>
      <c r="AQ27" s="25">
        <f t="shared" si="55"/>
        <v>9775876039.72</v>
      </c>
      <c r="AR27" s="25">
        <v>285071823</v>
      </c>
      <c r="AS27" s="25">
        <f t="shared" si="60"/>
        <v>5701436.46</v>
      </c>
      <c r="AT27" s="25">
        <f t="shared" si="61"/>
        <v>279370386.54</v>
      </c>
      <c r="AU27" s="25">
        <f t="shared" si="62"/>
        <v>62821893306</v>
      </c>
      <c r="AV27" s="32">
        <f>I27-AU27</f>
        <v>0</v>
      </c>
      <c r="AW27" s="46">
        <f t="shared" si="22"/>
        <v>1</v>
      </c>
    </row>
    <row r="28" spans="1:49" ht="12">
      <c r="A28" s="39" t="s">
        <v>29</v>
      </c>
      <c r="B28" s="10">
        <v>24979988496</v>
      </c>
      <c r="C28" s="6"/>
      <c r="D28" s="10">
        <v>543038222</v>
      </c>
      <c r="E28" s="10">
        <v>1629114666</v>
      </c>
      <c r="F28" s="10"/>
      <c r="G28" s="52">
        <f t="shared" si="34"/>
        <v>1629114666</v>
      </c>
      <c r="H28" s="52">
        <v>499166821</v>
      </c>
      <c r="I28" s="25">
        <f t="shared" si="35"/>
        <v>27651308205</v>
      </c>
      <c r="J28" s="6">
        <f t="shared" si="57"/>
        <v>553026164.1</v>
      </c>
      <c r="K28" s="6">
        <f>1498799310+167047178</f>
        <v>1665846488</v>
      </c>
      <c r="L28" s="6">
        <f t="shared" si="36"/>
        <v>33316929.76</v>
      </c>
      <c r="M28" s="6">
        <f t="shared" si="37"/>
        <v>1632529558.24</v>
      </c>
      <c r="N28" s="6">
        <v>3107510569</v>
      </c>
      <c r="O28" s="6">
        <f t="shared" si="58"/>
        <v>62150211.38</v>
      </c>
      <c r="P28" s="6">
        <f t="shared" si="59"/>
        <v>3045360357.62</v>
      </c>
      <c r="Q28" s="25">
        <v>1887973209</v>
      </c>
      <c r="R28" s="25">
        <f t="shared" si="38"/>
        <v>37759464.18</v>
      </c>
      <c r="S28" s="25">
        <f t="shared" si="39"/>
        <v>1850213744.82</v>
      </c>
      <c r="T28" s="25">
        <v>1665332566</v>
      </c>
      <c r="U28" s="25">
        <f t="shared" si="40"/>
        <v>33306651.32</v>
      </c>
      <c r="V28" s="25">
        <f t="shared" si="41"/>
        <v>1632025914.68</v>
      </c>
      <c r="W28" s="25">
        <v>1665332566</v>
      </c>
      <c r="X28" s="25">
        <f t="shared" si="42"/>
        <v>33306651.32</v>
      </c>
      <c r="Y28" s="25">
        <f t="shared" si="43"/>
        <v>1632025914.68</v>
      </c>
      <c r="Z28" s="25">
        <v>2497998849</v>
      </c>
      <c r="AA28" s="25">
        <f t="shared" si="44"/>
        <v>49959976.980000004</v>
      </c>
      <c r="AB28" s="25">
        <f t="shared" si="45"/>
        <v>2448038872.02</v>
      </c>
      <c r="AC28" s="25">
        <f>1665332566+407278666</f>
        <v>2072611232</v>
      </c>
      <c r="AD28" s="25">
        <f t="shared" si="46"/>
        <v>41452224.64</v>
      </c>
      <c r="AE28" s="25">
        <f t="shared" si="47"/>
        <v>2031159007.36</v>
      </c>
      <c r="AF28" s="25">
        <f>1665332566+81455733</f>
        <v>1746788299</v>
      </c>
      <c r="AG28" s="25">
        <f t="shared" si="48"/>
        <v>34935765.980000004</v>
      </c>
      <c r="AH28" s="25">
        <f t="shared" si="49"/>
        <v>1711852533.02</v>
      </c>
      <c r="AI28" s="25">
        <f>1665332566</f>
        <v>1665332566</v>
      </c>
      <c r="AJ28" s="25">
        <f t="shared" si="50"/>
        <v>33306651.32</v>
      </c>
      <c r="AK28" s="25">
        <f t="shared" si="51"/>
        <v>1632025914.68</v>
      </c>
      <c r="AL28" s="25">
        <v>3986842842</v>
      </c>
      <c r="AM28" s="25">
        <f t="shared" si="52"/>
        <v>79736856.84</v>
      </c>
      <c r="AN28" s="25">
        <f t="shared" si="53"/>
        <v>3907105985.16</v>
      </c>
      <c r="AO28" s="25">
        <v>1850369518</v>
      </c>
      <c r="AP28" s="25">
        <f t="shared" si="54"/>
        <v>37007390.36</v>
      </c>
      <c r="AQ28" s="25">
        <f t="shared" si="55"/>
        <v>1813362127.64</v>
      </c>
      <c r="AR28" s="25">
        <f>1711088014+1629114666+499166821</f>
        <v>3839369501</v>
      </c>
      <c r="AS28" s="25">
        <f t="shared" si="60"/>
        <v>76787390.02</v>
      </c>
      <c r="AT28" s="25">
        <f t="shared" si="61"/>
        <v>3762582110.98</v>
      </c>
      <c r="AU28" s="25">
        <f t="shared" si="62"/>
        <v>27651308205</v>
      </c>
      <c r="AV28" s="32">
        <f t="shared" si="56"/>
        <v>0</v>
      </c>
      <c r="AW28" s="46">
        <f t="shared" si="22"/>
        <v>1</v>
      </c>
    </row>
    <row r="29" spans="1:49" ht="12">
      <c r="A29" s="39" t="s">
        <v>30</v>
      </c>
      <c r="B29" s="10">
        <v>19966527987</v>
      </c>
      <c r="C29" s="6"/>
      <c r="D29" s="10">
        <v>434048172</v>
      </c>
      <c r="E29" s="10">
        <v>1302144517</v>
      </c>
      <c r="F29" s="10"/>
      <c r="G29" s="52">
        <f t="shared" si="34"/>
        <v>1302144517</v>
      </c>
      <c r="H29" s="52">
        <v>833401380</v>
      </c>
      <c r="I29" s="25">
        <f t="shared" si="35"/>
        <v>22536122056</v>
      </c>
      <c r="J29" s="6">
        <f t="shared" si="57"/>
        <v>450722441.12</v>
      </c>
      <c r="K29" s="6">
        <f>1197991679+133520965</f>
        <v>1331512644</v>
      </c>
      <c r="L29" s="6">
        <f t="shared" si="36"/>
        <v>26630252.88</v>
      </c>
      <c r="M29" s="6">
        <f t="shared" si="37"/>
        <v>1304882391.12</v>
      </c>
      <c r="N29" s="6">
        <v>2483836082</v>
      </c>
      <c r="O29" s="6">
        <f t="shared" si="58"/>
        <v>49676721.64</v>
      </c>
      <c r="P29" s="6">
        <f t="shared" si="59"/>
        <v>2434159360.36</v>
      </c>
      <c r="Q29" s="25">
        <v>1509058737</v>
      </c>
      <c r="R29" s="25">
        <f t="shared" si="38"/>
        <v>30181174.740000002</v>
      </c>
      <c r="S29" s="25">
        <f t="shared" si="39"/>
        <v>1478877562.26</v>
      </c>
      <c r="T29" s="25">
        <v>1331101866</v>
      </c>
      <c r="U29" s="25">
        <f t="shared" si="40"/>
        <v>26622037.32</v>
      </c>
      <c r="V29" s="25">
        <f t="shared" si="41"/>
        <v>1304479828.68</v>
      </c>
      <c r="W29" s="25">
        <v>1331101866</v>
      </c>
      <c r="X29" s="25">
        <f t="shared" si="42"/>
        <v>26622037.32</v>
      </c>
      <c r="Y29" s="25">
        <f t="shared" si="43"/>
        <v>1304479828.68</v>
      </c>
      <c r="Z29" s="25">
        <v>1996652799</v>
      </c>
      <c r="AA29" s="25">
        <f t="shared" si="44"/>
        <v>39933055.980000004</v>
      </c>
      <c r="AB29" s="25">
        <f t="shared" si="45"/>
        <v>1956719743.02</v>
      </c>
      <c r="AC29" s="25">
        <f>1331101866+325536129</f>
        <v>1656637995</v>
      </c>
      <c r="AD29" s="25">
        <f t="shared" si="46"/>
        <v>33132759.900000002</v>
      </c>
      <c r="AE29" s="25">
        <f t="shared" si="47"/>
        <v>1623505235.1</v>
      </c>
      <c r="AF29" s="25">
        <f>1331101866+65107226</f>
        <v>1396209092</v>
      </c>
      <c r="AG29" s="25">
        <f t="shared" si="48"/>
        <v>27924181.84</v>
      </c>
      <c r="AH29" s="25">
        <f t="shared" si="49"/>
        <v>1368284910.16</v>
      </c>
      <c r="AI29" s="25">
        <f>1331101866</f>
        <v>1331101866</v>
      </c>
      <c r="AJ29" s="25">
        <f t="shared" si="50"/>
        <v>26622037.32</v>
      </c>
      <c r="AK29" s="25">
        <f t="shared" si="51"/>
        <v>1304479828.68</v>
      </c>
      <c r="AL29" s="25">
        <v>3186687448</v>
      </c>
      <c r="AM29" s="25">
        <f t="shared" si="52"/>
        <v>63733748.96</v>
      </c>
      <c r="AN29" s="25">
        <f t="shared" si="53"/>
        <v>3122953699.04</v>
      </c>
      <c r="AO29" s="25">
        <v>1479002073</v>
      </c>
      <c r="AP29" s="25">
        <f t="shared" si="54"/>
        <v>29580041.46</v>
      </c>
      <c r="AQ29" s="25">
        <f t="shared" si="55"/>
        <v>1449422031.54</v>
      </c>
      <c r="AR29" s="25">
        <f>1367673691+1302144517+833401380</f>
        <v>3503219588</v>
      </c>
      <c r="AS29" s="25">
        <f t="shared" si="60"/>
        <v>70064391.76</v>
      </c>
      <c r="AT29" s="25">
        <f t="shared" si="61"/>
        <v>3433155196.24</v>
      </c>
      <c r="AU29" s="25">
        <f t="shared" si="62"/>
        <v>22536122056</v>
      </c>
      <c r="AV29" s="32">
        <f t="shared" si="56"/>
        <v>0</v>
      </c>
      <c r="AW29" s="46">
        <f t="shared" si="22"/>
        <v>1</v>
      </c>
    </row>
    <row r="30" spans="1:49" ht="12">
      <c r="A30" s="39" t="s">
        <v>31</v>
      </c>
      <c r="B30" s="10">
        <v>108148853633</v>
      </c>
      <c r="C30" s="6"/>
      <c r="D30" s="10">
        <v>2351048833</v>
      </c>
      <c r="E30" s="10">
        <v>7053146498</v>
      </c>
      <c r="F30" s="10"/>
      <c r="G30" s="52">
        <f t="shared" si="34"/>
        <v>7053146498</v>
      </c>
      <c r="H30" s="52">
        <v>655496495</v>
      </c>
      <c r="I30" s="25">
        <f t="shared" si="35"/>
        <v>118208545459</v>
      </c>
      <c r="J30" s="6">
        <f t="shared" si="57"/>
        <v>2364170909.18</v>
      </c>
      <c r="K30" s="6">
        <f>6488931218+723217340</f>
        <v>7212148558</v>
      </c>
      <c r="L30" s="6">
        <f t="shared" si="36"/>
        <v>144242971.16</v>
      </c>
      <c r="M30" s="6">
        <f t="shared" si="37"/>
        <v>7067905586.84</v>
      </c>
      <c r="N30" s="6">
        <v>13453717392</v>
      </c>
      <c r="O30" s="6">
        <f t="shared" si="58"/>
        <v>269074347.84000003</v>
      </c>
      <c r="P30" s="6">
        <f t="shared" si="59"/>
        <v>13184643044.16</v>
      </c>
      <c r="Q30" s="25">
        <v>8173828352</v>
      </c>
      <c r="R30" s="25">
        <f t="shared" si="38"/>
        <v>163476567.04</v>
      </c>
      <c r="S30" s="25">
        <f t="shared" si="39"/>
        <v>8010351784.96</v>
      </c>
      <c r="T30" s="25">
        <v>7209923576</v>
      </c>
      <c r="U30" s="25">
        <f t="shared" si="40"/>
        <v>144198471.52</v>
      </c>
      <c r="V30" s="25">
        <f t="shared" si="41"/>
        <v>7065725104.48</v>
      </c>
      <c r="W30" s="25">
        <v>7209923576</v>
      </c>
      <c r="X30" s="25">
        <f t="shared" si="42"/>
        <v>144198471.52</v>
      </c>
      <c r="Y30" s="25">
        <f t="shared" si="43"/>
        <v>7065725104.48</v>
      </c>
      <c r="Z30" s="25">
        <v>10814885364</v>
      </c>
      <c r="AA30" s="25">
        <f t="shared" si="44"/>
        <v>216297707.28</v>
      </c>
      <c r="AB30" s="25">
        <f t="shared" si="45"/>
        <v>10598587656.72</v>
      </c>
      <c r="AC30" s="25">
        <f>7209923576+1763286625</f>
        <v>8973210201</v>
      </c>
      <c r="AD30" s="25">
        <f t="shared" si="46"/>
        <v>179464204.02</v>
      </c>
      <c r="AE30" s="25">
        <f t="shared" si="47"/>
        <v>8793745996.98</v>
      </c>
      <c r="AF30" s="25">
        <f>7209923576+352657325</f>
        <v>7562580901</v>
      </c>
      <c r="AG30" s="25">
        <f t="shared" si="48"/>
        <v>151251618.02</v>
      </c>
      <c r="AH30" s="25">
        <f t="shared" si="49"/>
        <v>7411329282.98</v>
      </c>
      <c r="AI30" s="25">
        <f>7209923576</f>
        <v>7209923576</v>
      </c>
      <c r="AJ30" s="25">
        <f t="shared" si="50"/>
        <v>144198471.52</v>
      </c>
      <c r="AK30" s="25">
        <f t="shared" si="51"/>
        <v>7065725104.48</v>
      </c>
      <c r="AL30" s="25">
        <v>17260715032</v>
      </c>
      <c r="AM30" s="25">
        <f t="shared" si="52"/>
        <v>345214300.64</v>
      </c>
      <c r="AN30" s="25">
        <f t="shared" si="53"/>
        <v>16915500731.36</v>
      </c>
      <c r="AO30" s="25">
        <v>8011026195</v>
      </c>
      <c r="AP30" s="25">
        <f t="shared" si="54"/>
        <v>160220523.9</v>
      </c>
      <c r="AQ30" s="25">
        <f t="shared" si="55"/>
        <v>7850805671.1</v>
      </c>
      <c r="AR30" s="25">
        <f>7408019743+7053146498+655496495</f>
        <v>15116662736</v>
      </c>
      <c r="AS30" s="25">
        <f t="shared" si="60"/>
        <v>302333254.72</v>
      </c>
      <c r="AT30" s="25">
        <f t="shared" si="61"/>
        <v>14814329481.28</v>
      </c>
      <c r="AU30" s="25">
        <f t="shared" si="62"/>
        <v>118208545459</v>
      </c>
      <c r="AV30" s="32">
        <f t="shared" si="56"/>
        <v>0</v>
      </c>
      <c r="AW30" s="46">
        <f t="shared" si="22"/>
        <v>1</v>
      </c>
    </row>
    <row r="31" spans="1:49" ht="12">
      <c r="A31" s="39" t="s">
        <v>32</v>
      </c>
      <c r="B31" s="10">
        <v>8401819006</v>
      </c>
      <c r="C31" s="6"/>
      <c r="D31" s="10">
        <v>182645625</v>
      </c>
      <c r="E31" s="10">
        <v>547936876</v>
      </c>
      <c r="F31" s="10"/>
      <c r="G31" s="52">
        <f t="shared" si="34"/>
        <v>547936876</v>
      </c>
      <c r="H31" s="52">
        <v>710619746</v>
      </c>
      <c r="I31" s="25">
        <f t="shared" si="35"/>
        <v>9843021253</v>
      </c>
      <c r="J31" s="6">
        <f t="shared" si="57"/>
        <v>196860425.06</v>
      </c>
      <c r="K31" s="6">
        <f>504109140+56184980</f>
        <v>560294120</v>
      </c>
      <c r="L31" s="6">
        <f t="shared" si="36"/>
        <v>11205882.4</v>
      </c>
      <c r="M31" s="6">
        <f t="shared" si="37"/>
        <v>549088237.6</v>
      </c>
      <c r="N31" s="6">
        <v>1045186284</v>
      </c>
      <c r="O31" s="6">
        <f t="shared" si="58"/>
        <v>20903725.68</v>
      </c>
      <c r="P31" s="6">
        <f t="shared" si="59"/>
        <v>1024282558.32</v>
      </c>
      <c r="Q31" s="25">
        <v>635004664</v>
      </c>
      <c r="R31" s="25">
        <f t="shared" si="38"/>
        <v>12700093.280000001</v>
      </c>
      <c r="S31" s="25">
        <f t="shared" si="39"/>
        <v>622304570.72</v>
      </c>
      <c r="T31" s="25">
        <v>560121267</v>
      </c>
      <c r="U31" s="25">
        <f t="shared" si="40"/>
        <v>11202425.34</v>
      </c>
      <c r="V31" s="25">
        <f t="shared" si="41"/>
        <v>548918841.66</v>
      </c>
      <c r="W31" s="25">
        <v>560121267</v>
      </c>
      <c r="X31" s="25">
        <f t="shared" si="42"/>
        <v>11202425.34</v>
      </c>
      <c r="Y31" s="25">
        <f t="shared" si="43"/>
        <v>548918841.66</v>
      </c>
      <c r="Z31" s="25">
        <v>840181901</v>
      </c>
      <c r="AA31" s="25">
        <f t="shared" si="44"/>
        <v>16803638.02</v>
      </c>
      <c r="AB31" s="25">
        <f t="shared" si="45"/>
        <v>823378262.98</v>
      </c>
      <c r="AC31" s="25">
        <f>560121267+136984220</f>
        <v>697105487</v>
      </c>
      <c r="AD31" s="25">
        <f t="shared" si="46"/>
        <v>13942109.74</v>
      </c>
      <c r="AE31" s="25">
        <f t="shared" si="47"/>
        <v>683163377.26</v>
      </c>
      <c r="AF31" s="25">
        <f>560121267+27396844</f>
        <v>587518111</v>
      </c>
      <c r="AG31" s="25">
        <f t="shared" si="48"/>
        <v>11750362.22</v>
      </c>
      <c r="AH31" s="25">
        <f t="shared" si="49"/>
        <v>575767748.78</v>
      </c>
      <c r="AI31" s="25">
        <f>560121267</f>
        <v>560121267</v>
      </c>
      <c r="AJ31" s="25">
        <f t="shared" si="50"/>
        <v>11202425.34</v>
      </c>
      <c r="AK31" s="25">
        <f t="shared" si="51"/>
        <v>548918841.66</v>
      </c>
      <c r="AL31" s="25">
        <v>1340942738</v>
      </c>
      <c r="AM31" s="25">
        <f t="shared" si="52"/>
        <v>26818854.76</v>
      </c>
      <c r="AN31" s="25">
        <f t="shared" si="53"/>
        <v>1314123883.24</v>
      </c>
      <c r="AO31" s="25">
        <v>622356963</v>
      </c>
      <c r="AP31" s="25">
        <f t="shared" si="54"/>
        <v>12447139.26</v>
      </c>
      <c r="AQ31" s="25">
        <f t="shared" si="55"/>
        <v>609909823.74</v>
      </c>
      <c r="AR31" s="25">
        <f>575510562+547936876+710619746</f>
        <v>1834067184</v>
      </c>
      <c r="AS31" s="25">
        <f t="shared" si="60"/>
        <v>36681343.68</v>
      </c>
      <c r="AT31" s="25">
        <f t="shared" si="61"/>
        <v>1797385840.32</v>
      </c>
      <c r="AU31" s="25">
        <f t="shared" si="62"/>
        <v>9843021253</v>
      </c>
      <c r="AV31" s="32">
        <f t="shared" si="56"/>
        <v>0</v>
      </c>
      <c r="AW31" s="46">
        <f t="shared" si="22"/>
        <v>1</v>
      </c>
    </row>
    <row r="32" spans="1:49" ht="12">
      <c r="A32" s="39" t="s">
        <v>33</v>
      </c>
      <c r="B32" s="10">
        <v>57868458165</v>
      </c>
      <c r="C32" s="6"/>
      <c r="D32" s="10">
        <v>1258012248</v>
      </c>
      <c r="E32" s="10">
        <v>3774036744</v>
      </c>
      <c r="F32" s="10"/>
      <c r="G32" s="52">
        <f t="shared" si="34"/>
        <v>3774036744</v>
      </c>
      <c r="H32" s="52">
        <v>634093580</v>
      </c>
      <c r="I32" s="25">
        <f t="shared" si="35"/>
        <v>63534600737</v>
      </c>
      <c r="J32" s="6">
        <f t="shared" si="57"/>
        <v>1270692014.74</v>
      </c>
      <c r="K32" s="6">
        <f>3472107490+386980268</f>
        <v>3859087758</v>
      </c>
      <c r="L32" s="6">
        <f t="shared" si="36"/>
        <v>77181755.16</v>
      </c>
      <c r="M32" s="6">
        <f t="shared" si="37"/>
        <v>3781906002.84</v>
      </c>
      <c r="N32" s="6">
        <v>7198836196</v>
      </c>
      <c r="O32" s="6">
        <f t="shared" si="58"/>
        <v>143976723.92000002</v>
      </c>
      <c r="P32" s="6">
        <f t="shared" si="59"/>
        <v>7054859472.08</v>
      </c>
      <c r="Q32" s="25">
        <v>4373664890</v>
      </c>
      <c r="R32" s="25">
        <f t="shared" si="38"/>
        <v>87473297.8</v>
      </c>
      <c r="S32" s="25">
        <f t="shared" si="39"/>
        <v>4286191592.2</v>
      </c>
      <c r="T32" s="25">
        <v>3857897211</v>
      </c>
      <c r="U32" s="25">
        <f t="shared" si="40"/>
        <v>77157944.22</v>
      </c>
      <c r="V32" s="25">
        <f t="shared" si="41"/>
        <v>3780739266.78</v>
      </c>
      <c r="W32" s="25">
        <v>3857897211</v>
      </c>
      <c r="X32" s="25">
        <f t="shared" si="42"/>
        <v>77157944.22</v>
      </c>
      <c r="Y32" s="25">
        <f t="shared" si="43"/>
        <v>3780739266.78</v>
      </c>
      <c r="Z32" s="25">
        <v>5786845817</v>
      </c>
      <c r="AA32" s="25">
        <f t="shared" si="44"/>
        <v>115736916.34</v>
      </c>
      <c r="AB32" s="25">
        <f t="shared" si="45"/>
        <v>5671108900.66</v>
      </c>
      <c r="AC32" s="25">
        <f>3857897211+943509186</f>
        <v>4801406397</v>
      </c>
      <c r="AD32" s="25">
        <f t="shared" si="46"/>
        <v>96028127.94</v>
      </c>
      <c r="AE32" s="25">
        <f t="shared" si="47"/>
        <v>4705378269.06</v>
      </c>
      <c r="AF32" s="25">
        <f>3857897211+188701837</f>
        <v>4046599048</v>
      </c>
      <c r="AG32" s="25">
        <f t="shared" si="48"/>
        <v>80931980.96000001</v>
      </c>
      <c r="AH32" s="25">
        <f t="shared" si="49"/>
        <v>3965667067.04</v>
      </c>
      <c r="AI32" s="25">
        <f>3857897211</f>
        <v>3857897211</v>
      </c>
      <c r="AJ32" s="25">
        <f t="shared" si="50"/>
        <v>77157944.22</v>
      </c>
      <c r="AK32" s="25">
        <f t="shared" si="51"/>
        <v>3780739266.78</v>
      </c>
      <c r="AL32" s="25">
        <v>9235889573</v>
      </c>
      <c r="AM32" s="25">
        <f t="shared" si="52"/>
        <v>184717791.46</v>
      </c>
      <c r="AN32" s="25">
        <f t="shared" si="53"/>
        <v>9051171781.54</v>
      </c>
      <c r="AO32" s="25">
        <v>4286552457</v>
      </c>
      <c r="AP32" s="25">
        <f t="shared" si="54"/>
        <v>85731049.14</v>
      </c>
      <c r="AQ32" s="25">
        <f t="shared" si="55"/>
        <v>4200821407.86</v>
      </c>
      <c r="AR32" s="25">
        <f>3963896644+3774036744+634093580</f>
        <v>8372026968</v>
      </c>
      <c r="AS32" s="25">
        <f t="shared" si="60"/>
        <v>167440539.36</v>
      </c>
      <c r="AT32" s="25">
        <f t="shared" si="61"/>
        <v>8204586428.64</v>
      </c>
      <c r="AU32" s="25">
        <f t="shared" si="62"/>
        <v>63534600737</v>
      </c>
      <c r="AV32" s="32">
        <f t="shared" si="56"/>
        <v>0</v>
      </c>
      <c r="AW32" s="46">
        <f t="shared" si="22"/>
        <v>1</v>
      </c>
    </row>
    <row r="33" spans="1:49" ht="12">
      <c r="A33" s="39" t="s">
        <v>34</v>
      </c>
      <c r="B33" s="10">
        <v>21129942019</v>
      </c>
      <c r="C33" s="6"/>
      <c r="D33" s="10">
        <v>459352463</v>
      </c>
      <c r="E33" s="10">
        <v>1378057390</v>
      </c>
      <c r="F33" s="10"/>
      <c r="G33" s="52">
        <f t="shared" si="34"/>
        <v>1378057390</v>
      </c>
      <c r="H33" s="52">
        <v>708716364</v>
      </c>
      <c r="I33" s="25">
        <f t="shared" si="35"/>
        <v>23676068236</v>
      </c>
      <c r="J33" s="6">
        <f t="shared" si="57"/>
        <v>473521364.72</v>
      </c>
      <c r="K33" s="6">
        <f>1267796521+141300993</f>
        <v>1409097514</v>
      </c>
      <c r="L33" s="6">
        <f t="shared" si="36"/>
        <v>28181950.28</v>
      </c>
      <c r="M33" s="6">
        <f t="shared" si="37"/>
        <v>1380915563.72</v>
      </c>
      <c r="N33" s="6">
        <v>2628564787</v>
      </c>
      <c r="O33" s="6">
        <f t="shared" si="58"/>
        <v>52571295.74</v>
      </c>
      <c r="P33" s="6">
        <f t="shared" si="59"/>
        <v>2575993491.26</v>
      </c>
      <c r="Q33" s="25">
        <v>1596988904</v>
      </c>
      <c r="R33" s="25">
        <f t="shared" si="38"/>
        <v>31939778.080000002</v>
      </c>
      <c r="S33" s="25">
        <f t="shared" si="39"/>
        <v>1565049125.92</v>
      </c>
      <c r="T33" s="25">
        <v>1408662801</v>
      </c>
      <c r="U33" s="25">
        <f t="shared" si="40"/>
        <v>28173256.02</v>
      </c>
      <c r="V33" s="25">
        <f t="shared" si="41"/>
        <v>1380489544.98</v>
      </c>
      <c r="W33" s="25">
        <v>1408662801</v>
      </c>
      <c r="X33" s="25">
        <f t="shared" si="42"/>
        <v>28173256.02</v>
      </c>
      <c r="Y33" s="25">
        <f t="shared" si="43"/>
        <v>1380489544.98</v>
      </c>
      <c r="Z33" s="25">
        <v>2112994202</v>
      </c>
      <c r="AA33" s="25">
        <f t="shared" si="44"/>
        <v>42259884.04</v>
      </c>
      <c r="AB33" s="25">
        <f t="shared" si="45"/>
        <v>2070734317.96</v>
      </c>
      <c r="AC33" s="25">
        <f>1408662801+344514347</f>
        <v>1753177148</v>
      </c>
      <c r="AD33" s="25">
        <f t="shared" si="46"/>
        <v>35063542.96</v>
      </c>
      <c r="AE33" s="25">
        <f t="shared" si="47"/>
        <v>1718113605.04</v>
      </c>
      <c r="AF33" s="25">
        <f>1408662801+68902869</f>
        <v>1477565670</v>
      </c>
      <c r="AG33" s="25">
        <f t="shared" si="48"/>
        <v>29551313.400000002</v>
      </c>
      <c r="AH33" s="25">
        <f t="shared" si="49"/>
        <v>1448014356.6</v>
      </c>
      <c r="AI33" s="25">
        <f>1408662801</f>
        <v>1408662801</v>
      </c>
      <c r="AJ33" s="25">
        <f t="shared" si="50"/>
        <v>28173256.02</v>
      </c>
      <c r="AK33" s="25">
        <f t="shared" si="51"/>
        <v>1380489544.98</v>
      </c>
      <c r="AL33" s="25">
        <v>3372368809</v>
      </c>
      <c r="AM33" s="25">
        <f t="shared" si="52"/>
        <v>67447376.18</v>
      </c>
      <c r="AN33" s="25">
        <f t="shared" si="53"/>
        <v>3304921432.82</v>
      </c>
      <c r="AO33" s="25">
        <v>1565180890</v>
      </c>
      <c r="AP33" s="25">
        <f t="shared" si="54"/>
        <v>31303617.8</v>
      </c>
      <c r="AQ33" s="25">
        <f t="shared" si="55"/>
        <v>1533877272.2</v>
      </c>
      <c r="AR33" s="25">
        <f>1447368155+1378057390+708716364</f>
        <v>3534141909</v>
      </c>
      <c r="AS33" s="25">
        <f t="shared" si="60"/>
        <v>70682838.18</v>
      </c>
      <c r="AT33" s="25">
        <f t="shared" si="61"/>
        <v>3463459070.82</v>
      </c>
      <c r="AU33" s="25">
        <f t="shared" si="62"/>
        <v>23676068236</v>
      </c>
      <c r="AV33" s="32">
        <f t="shared" si="56"/>
        <v>0</v>
      </c>
      <c r="AW33" s="46">
        <f t="shared" si="22"/>
        <v>1</v>
      </c>
    </row>
    <row r="34" spans="1:49" ht="12">
      <c r="A34" s="39" t="s">
        <v>35</v>
      </c>
      <c r="B34" s="10">
        <v>15073538704</v>
      </c>
      <c r="C34" s="6"/>
      <c r="D34" s="10">
        <v>327692760</v>
      </c>
      <c r="E34" s="10">
        <v>983078279</v>
      </c>
      <c r="F34" s="10"/>
      <c r="G34" s="52">
        <f t="shared" si="34"/>
        <v>983078279</v>
      </c>
      <c r="H34" s="52">
        <v>696435530</v>
      </c>
      <c r="I34" s="25">
        <f t="shared" si="35"/>
        <v>17080745273</v>
      </c>
      <c r="J34" s="6">
        <f t="shared" si="57"/>
        <v>341614905.46</v>
      </c>
      <c r="K34" s="6">
        <f>904412322+100800371</f>
        <v>1005212693</v>
      </c>
      <c r="L34" s="6">
        <f t="shared" si="36"/>
        <v>20104253.86</v>
      </c>
      <c r="M34" s="6">
        <f t="shared" si="37"/>
        <v>985108439.14</v>
      </c>
      <c r="N34" s="6">
        <v>1875148215</v>
      </c>
      <c r="O34" s="6">
        <f t="shared" si="58"/>
        <v>37502964.300000004</v>
      </c>
      <c r="P34" s="6">
        <f t="shared" si="59"/>
        <v>1837645250.7</v>
      </c>
      <c r="Q34" s="25">
        <v>1139249413</v>
      </c>
      <c r="R34" s="25">
        <f t="shared" si="38"/>
        <v>22784988.26</v>
      </c>
      <c r="S34" s="25">
        <f t="shared" si="39"/>
        <v>1116464424.74</v>
      </c>
      <c r="T34" s="25">
        <v>1004902580</v>
      </c>
      <c r="U34" s="25">
        <f t="shared" si="40"/>
        <v>20098051.6</v>
      </c>
      <c r="V34" s="25">
        <f t="shared" si="41"/>
        <v>984804528.4</v>
      </c>
      <c r="W34" s="25">
        <v>1004902580</v>
      </c>
      <c r="X34" s="25">
        <f t="shared" si="42"/>
        <v>20098051.6</v>
      </c>
      <c r="Y34" s="25">
        <f t="shared" si="43"/>
        <v>984804528.4</v>
      </c>
      <c r="Z34" s="25">
        <v>1507353870</v>
      </c>
      <c r="AA34" s="25">
        <f t="shared" si="44"/>
        <v>30147077.400000002</v>
      </c>
      <c r="AB34" s="25">
        <f t="shared" si="45"/>
        <v>1477206792.6</v>
      </c>
      <c r="AC34" s="25">
        <v>1004902580</v>
      </c>
      <c r="AD34" s="25">
        <f t="shared" si="46"/>
        <v>20098051.6</v>
      </c>
      <c r="AE34" s="25">
        <f t="shared" si="47"/>
        <v>984804528.4</v>
      </c>
      <c r="AF34" s="25">
        <f>1004902580+196451810</f>
        <v>1201354390</v>
      </c>
      <c r="AG34" s="25">
        <f t="shared" si="48"/>
        <v>24027087.8</v>
      </c>
      <c r="AH34" s="25">
        <f t="shared" si="49"/>
        <v>1177327302.2</v>
      </c>
      <c r="AI34" s="25">
        <f>1004902580</f>
        <v>1004902580</v>
      </c>
      <c r="AJ34" s="25">
        <f t="shared" si="50"/>
        <v>20098051.6</v>
      </c>
      <c r="AK34" s="25">
        <f t="shared" si="51"/>
        <v>984804528.4</v>
      </c>
      <c r="AL34" s="25">
        <v>2405757945</v>
      </c>
      <c r="AM34" s="25">
        <f t="shared" si="52"/>
        <v>48115158.9</v>
      </c>
      <c r="AN34" s="25">
        <f t="shared" si="53"/>
        <v>2357642786.1</v>
      </c>
      <c r="AO34" s="25">
        <v>1116558423</v>
      </c>
      <c r="AP34" s="25">
        <f t="shared" si="54"/>
        <v>22331168.46</v>
      </c>
      <c r="AQ34" s="25">
        <f t="shared" si="55"/>
        <v>1094227254.54</v>
      </c>
      <c r="AR34" s="25">
        <f>1130986195+983078279+696435530</f>
        <v>2810500004</v>
      </c>
      <c r="AS34" s="25">
        <f t="shared" si="60"/>
        <v>56210000.08</v>
      </c>
      <c r="AT34" s="25">
        <f t="shared" si="61"/>
        <v>2754290003.92</v>
      </c>
      <c r="AU34" s="25">
        <f t="shared" si="62"/>
        <v>17080745273</v>
      </c>
      <c r="AV34" s="32">
        <f t="shared" si="56"/>
        <v>0</v>
      </c>
      <c r="AW34" s="46">
        <f t="shared" si="22"/>
        <v>1</v>
      </c>
    </row>
    <row r="35" spans="1:49" ht="12">
      <c r="A35" s="39" t="s">
        <v>36</v>
      </c>
      <c r="B35" s="10">
        <v>3638845866</v>
      </c>
      <c r="C35" s="6"/>
      <c r="D35" s="10">
        <v>79113893</v>
      </c>
      <c r="E35" s="10">
        <v>237341679</v>
      </c>
      <c r="F35" s="10"/>
      <c r="G35" s="52">
        <f t="shared" si="34"/>
        <v>237341679</v>
      </c>
      <c r="H35" s="52">
        <v>710145300</v>
      </c>
      <c r="I35" s="25">
        <f t="shared" si="35"/>
        <v>4665446738</v>
      </c>
      <c r="J35" s="6">
        <f t="shared" si="57"/>
        <v>93308934.76</v>
      </c>
      <c r="K35" s="6">
        <f>218330752+24333836</f>
        <v>242664588</v>
      </c>
      <c r="L35" s="6">
        <f t="shared" si="36"/>
        <v>4853291.76</v>
      </c>
      <c r="M35" s="6">
        <f t="shared" si="37"/>
        <v>237811296.24</v>
      </c>
      <c r="N35" s="6">
        <v>452672426</v>
      </c>
      <c r="O35" s="6">
        <f t="shared" si="58"/>
        <v>9053448.52</v>
      </c>
      <c r="P35" s="6">
        <f t="shared" si="59"/>
        <v>443618977.48</v>
      </c>
      <c r="Q35" s="25">
        <v>275021884</v>
      </c>
      <c r="R35" s="25">
        <f t="shared" si="38"/>
        <v>5500437.68</v>
      </c>
      <c r="S35" s="25">
        <f t="shared" si="39"/>
        <v>269521446.32</v>
      </c>
      <c r="T35" s="25">
        <v>242589724</v>
      </c>
      <c r="U35" s="25">
        <f t="shared" si="40"/>
        <v>4851794.48</v>
      </c>
      <c r="V35" s="25">
        <f t="shared" si="41"/>
        <v>237737929.52</v>
      </c>
      <c r="W35" s="25">
        <v>242589724</v>
      </c>
      <c r="X35" s="25">
        <f t="shared" si="42"/>
        <v>4851794.48</v>
      </c>
      <c r="Y35" s="25">
        <f t="shared" si="43"/>
        <v>237737929.52</v>
      </c>
      <c r="Z35" s="25">
        <v>363884586</v>
      </c>
      <c r="AA35" s="25">
        <f t="shared" si="44"/>
        <v>7277691.72</v>
      </c>
      <c r="AB35" s="25">
        <f t="shared" si="45"/>
        <v>356606894.28</v>
      </c>
      <c r="AC35" s="25">
        <f>242589724+71202504</f>
        <v>313792228</v>
      </c>
      <c r="AD35" s="25">
        <f t="shared" si="46"/>
        <v>6275844.5600000005</v>
      </c>
      <c r="AE35" s="25">
        <f t="shared" si="47"/>
        <v>307516383.44</v>
      </c>
      <c r="AF35" s="25">
        <v>242589724</v>
      </c>
      <c r="AG35" s="25">
        <f t="shared" si="48"/>
        <v>4851794.48</v>
      </c>
      <c r="AH35" s="25">
        <f t="shared" si="49"/>
        <v>237737929.52</v>
      </c>
      <c r="AI35" s="25">
        <v>242589724</v>
      </c>
      <c r="AJ35" s="25">
        <f t="shared" si="50"/>
        <v>4851794.48</v>
      </c>
      <c r="AK35" s="25">
        <f t="shared" si="51"/>
        <v>237737929.52</v>
      </c>
      <c r="AL35" s="25">
        <v>580764261</v>
      </c>
      <c r="AM35" s="25">
        <f t="shared" si="52"/>
        <v>11615285.22</v>
      </c>
      <c r="AN35" s="25">
        <f>AL35-AM35</f>
        <v>569148975.78</v>
      </c>
      <c r="AO35" s="25">
        <v>269544138</v>
      </c>
      <c r="AP35" s="25">
        <f t="shared" si="54"/>
        <v>5390882.76</v>
      </c>
      <c r="AQ35" s="25">
        <f t="shared" si="55"/>
        <v>264153255.24</v>
      </c>
      <c r="AR35" s="25">
        <f>249256752+237341679+710145300</f>
        <v>1196743731</v>
      </c>
      <c r="AS35" s="25">
        <f t="shared" si="60"/>
        <v>23934874.62</v>
      </c>
      <c r="AT35" s="25">
        <f t="shared" si="61"/>
        <v>1172808856.38</v>
      </c>
      <c r="AU35" s="25">
        <f t="shared" si="62"/>
        <v>4665446738</v>
      </c>
      <c r="AV35" s="32">
        <f t="shared" si="56"/>
        <v>0</v>
      </c>
      <c r="AW35" s="46">
        <f t="shared" si="22"/>
        <v>1</v>
      </c>
    </row>
    <row r="36" spans="1:49" ht="12">
      <c r="A36" s="39" t="s">
        <v>37</v>
      </c>
      <c r="B36" s="10">
        <v>7799263438</v>
      </c>
      <c r="C36" s="6"/>
      <c r="D36" s="10">
        <v>169554959</v>
      </c>
      <c r="E36" s="10">
        <v>508664878</v>
      </c>
      <c r="F36" s="10"/>
      <c r="G36" s="52">
        <f t="shared" si="34"/>
        <v>508664878</v>
      </c>
      <c r="H36" s="52">
        <v>507461203</v>
      </c>
      <c r="I36" s="25">
        <f t="shared" si="35"/>
        <v>8984944478</v>
      </c>
      <c r="J36" s="6">
        <f t="shared" si="57"/>
        <v>179698889.56</v>
      </c>
      <c r="K36" s="6">
        <f>467955806+52155546</f>
        <v>520111352</v>
      </c>
      <c r="L36" s="6">
        <f t="shared" si="36"/>
        <v>10402227.040000001</v>
      </c>
      <c r="M36" s="6">
        <f t="shared" si="37"/>
        <v>509709124.96</v>
      </c>
      <c r="N36" s="6">
        <v>970228372</v>
      </c>
      <c r="O36" s="6">
        <f t="shared" si="58"/>
        <v>19404567.44</v>
      </c>
      <c r="P36" s="6">
        <f t="shared" si="59"/>
        <v>950823804.56</v>
      </c>
      <c r="Q36" s="25">
        <v>589463859</v>
      </c>
      <c r="R36" s="25">
        <f t="shared" si="38"/>
        <v>11789277.18</v>
      </c>
      <c r="S36" s="25">
        <f t="shared" si="39"/>
        <v>577674581.82</v>
      </c>
      <c r="T36" s="25">
        <v>519950896</v>
      </c>
      <c r="U36" s="25">
        <f t="shared" si="40"/>
        <v>10399017.92</v>
      </c>
      <c r="V36" s="25">
        <f t="shared" si="41"/>
        <v>509551878.08</v>
      </c>
      <c r="W36" s="25">
        <v>519950896</v>
      </c>
      <c r="X36" s="25">
        <f t="shared" si="42"/>
        <v>10399017.92</v>
      </c>
      <c r="Y36" s="25">
        <f t="shared" si="43"/>
        <v>509551878.08</v>
      </c>
      <c r="Z36" s="25">
        <v>779926344</v>
      </c>
      <c r="AA36" s="25">
        <f t="shared" si="44"/>
        <v>15598526.88</v>
      </c>
      <c r="AB36" s="25">
        <f t="shared" si="45"/>
        <v>764327817.12</v>
      </c>
      <c r="AC36" s="25">
        <f>519950896+152599463</f>
        <v>672550359</v>
      </c>
      <c r="AD36" s="25">
        <f t="shared" si="46"/>
        <v>13451007.18</v>
      </c>
      <c r="AE36" s="25">
        <f t="shared" si="47"/>
        <v>659099351.82</v>
      </c>
      <c r="AF36" s="25">
        <v>519950896</v>
      </c>
      <c r="AG36" s="25">
        <f t="shared" si="48"/>
        <v>10399017.92</v>
      </c>
      <c r="AH36" s="25">
        <f t="shared" si="49"/>
        <v>509551878.08</v>
      </c>
      <c r="AI36" s="25">
        <v>519950896</v>
      </c>
      <c r="AJ36" s="25">
        <f t="shared" si="50"/>
        <v>10399017.92</v>
      </c>
      <c r="AK36" s="25">
        <f t="shared" si="51"/>
        <v>509551878.08</v>
      </c>
      <c r="AL36" s="25">
        <v>1244773202</v>
      </c>
      <c r="AM36" s="25">
        <f t="shared" si="52"/>
        <v>24895464.04</v>
      </c>
      <c r="AN36" s="25">
        <f t="shared" si="53"/>
        <v>1219877737.96</v>
      </c>
      <c r="AO36" s="25">
        <v>577723218</v>
      </c>
      <c r="AP36" s="25">
        <f t="shared" si="54"/>
        <v>11554464.36</v>
      </c>
      <c r="AQ36" s="25">
        <f t="shared" si="55"/>
        <v>566168753.64</v>
      </c>
      <c r="AR36" s="25">
        <f>534238107+508664878+507461203</f>
        <v>1550364188</v>
      </c>
      <c r="AS36" s="25">
        <f t="shared" si="60"/>
        <v>31007283.76</v>
      </c>
      <c r="AT36" s="25">
        <f t="shared" si="61"/>
        <v>1519356904.24</v>
      </c>
      <c r="AU36" s="25">
        <f t="shared" si="62"/>
        <v>8984944478</v>
      </c>
      <c r="AV36" s="32">
        <f t="shared" si="56"/>
        <v>0</v>
      </c>
      <c r="AW36" s="46">
        <f t="shared" si="22"/>
        <v>1</v>
      </c>
    </row>
    <row r="37" spans="1:49" ht="12">
      <c r="A37" s="39" t="s">
        <v>38</v>
      </c>
      <c r="B37" s="10">
        <v>1044201033</v>
      </c>
      <c r="C37" s="6"/>
      <c r="D37" s="6"/>
      <c r="E37" s="6">
        <v>0</v>
      </c>
      <c r="F37" s="6"/>
      <c r="G37" s="52">
        <f t="shared" si="34"/>
        <v>0</v>
      </c>
      <c r="H37" s="52">
        <v>0</v>
      </c>
      <c r="I37" s="25">
        <f t="shared" si="35"/>
        <v>1044201033</v>
      </c>
      <c r="J37" s="6">
        <f t="shared" si="57"/>
        <v>20884020.66</v>
      </c>
      <c r="K37" s="6">
        <f>62652062+6982823</f>
        <v>69634885</v>
      </c>
      <c r="L37" s="6">
        <f t="shared" si="36"/>
        <v>1392697.7</v>
      </c>
      <c r="M37" s="6">
        <f t="shared" si="37"/>
        <v>68242187.3</v>
      </c>
      <c r="N37" s="6">
        <v>129898609</v>
      </c>
      <c r="O37" s="6">
        <f t="shared" si="58"/>
        <v>2597972.18</v>
      </c>
      <c r="P37" s="6">
        <f t="shared" si="59"/>
        <v>127300636.82</v>
      </c>
      <c r="Q37" s="25">
        <v>78920115</v>
      </c>
      <c r="R37" s="25">
        <f t="shared" si="38"/>
        <v>1578402.3</v>
      </c>
      <c r="S37" s="25">
        <f t="shared" si="39"/>
        <v>77341712.7</v>
      </c>
      <c r="T37" s="25">
        <v>69613402</v>
      </c>
      <c r="U37" s="25">
        <f t="shared" si="40"/>
        <v>1392268.04</v>
      </c>
      <c r="V37" s="25">
        <f t="shared" si="41"/>
        <v>68221133.96</v>
      </c>
      <c r="W37" s="25">
        <v>69613402</v>
      </c>
      <c r="X37" s="25">
        <f t="shared" si="42"/>
        <v>1392268.04</v>
      </c>
      <c r="Y37" s="25">
        <f t="shared" si="43"/>
        <v>68221133.96</v>
      </c>
      <c r="Z37" s="25">
        <v>104420103</v>
      </c>
      <c r="AA37" s="25">
        <f t="shared" si="44"/>
        <v>2088402.06</v>
      </c>
      <c r="AB37" s="25">
        <f t="shared" si="45"/>
        <v>102331700.94</v>
      </c>
      <c r="AC37" s="25">
        <v>69613402</v>
      </c>
      <c r="AD37" s="25">
        <f t="shared" si="46"/>
        <v>1392268.04</v>
      </c>
      <c r="AE37" s="25">
        <f t="shared" si="47"/>
        <v>68221133.96</v>
      </c>
      <c r="AF37" s="25">
        <v>69613402</v>
      </c>
      <c r="AG37" s="25">
        <f t="shared" si="48"/>
        <v>1392268.04</v>
      </c>
      <c r="AH37" s="25">
        <f t="shared" si="49"/>
        <v>68221133.96</v>
      </c>
      <c r="AI37" s="25">
        <v>69613402</v>
      </c>
      <c r="AJ37" s="25">
        <f t="shared" si="50"/>
        <v>1392268.04</v>
      </c>
      <c r="AK37" s="25">
        <f t="shared" si="51"/>
        <v>68221133.96</v>
      </c>
      <c r="AL37" s="25">
        <v>168812500</v>
      </c>
      <c r="AM37" s="25">
        <f t="shared" si="52"/>
        <v>3376250</v>
      </c>
      <c r="AN37" s="25">
        <f t="shared" si="53"/>
        <v>165436250</v>
      </c>
      <c r="AO37" s="25">
        <v>77348225</v>
      </c>
      <c r="AP37" s="25">
        <f t="shared" si="54"/>
        <v>1546964.5</v>
      </c>
      <c r="AQ37" s="25">
        <f t="shared" si="55"/>
        <v>75801260.5</v>
      </c>
      <c r="AR37" s="25">
        <v>67099586</v>
      </c>
      <c r="AS37" s="25">
        <f t="shared" si="60"/>
        <v>1341991.72</v>
      </c>
      <c r="AT37" s="25">
        <f t="shared" si="61"/>
        <v>65757594.28</v>
      </c>
      <c r="AU37" s="25">
        <f t="shared" si="62"/>
        <v>1044201033</v>
      </c>
      <c r="AV37" s="32">
        <f t="shared" si="56"/>
        <v>0</v>
      </c>
      <c r="AW37" s="46">
        <f t="shared" si="22"/>
        <v>1</v>
      </c>
    </row>
    <row r="38" spans="1:49" ht="12">
      <c r="A38" s="39" t="s">
        <v>39</v>
      </c>
      <c r="B38" s="10">
        <v>7874821588</v>
      </c>
      <c r="C38" s="6"/>
      <c r="D38" s="6">
        <v>171200658</v>
      </c>
      <c r="E38" s="6">
        <v>513601973</v>
      </c>
      <c r="F38" s="6"/>
      <c r="G38" s="52">
        <f t="shared" si="34"/>
        <v>513601973</v>
      </c>
      <c r="H38" s="52">
        <v>385308177</v>
      </c>
      <c r="I38" s="25">
        <f t="shared" si="35"/>
        <v>8944932396</v>
      </c>
      <c r="J38" s="6">
        <f t="shared" si="57"/>
        <v>178898647.92000002</v>
      </c>
      <c r="K38" s="6">
        <f>472489295+52660822</f>
        <v>525150117</v>
      </c>
      <c r="L38" s="6">
        <f t="shared" si="36"/>
        <v>10503002.34</v>
      </c>
      <c r="M38" s="6">
        <f t="shared" si="37"/>
        <v>514647114.66</v>
      </c>
      <c r="N38" s="6">
        <v>979627806</v>
      </c>
      <c r="O38" s="6">
        <f t="shared" si="58"/>
        <v>19592556.12</v>
      </c>
      <c r="P38" s="6">
        <f t="shared" si="59"/>
        <v>960035249.88</v>
      </c>
      <c r="Q38" s="25">
        <v>595174500</v>
      </c>
      <c r="R38" s="25">
        <f t="shared" si="38"/>
        <v>11903490</v>
      </c>
      <c r="S38" s="25">
        <f t="shared" si="39"/>
        <v>583271010</v>
      </c>
      <c r="T38" s="25">
        <v>524988106</v>
      </c>
      <c r="U38" s="25">
        <f t="shared" si="40"/>
        <v>10499762.120000001</v>
      </c>
      <c r="V38" s="25">
        <f t="shared" si="41"/>
        <v>514488343.88</v>
      </c>
      <c r="W38" s="25">
        <v>524988106</v>
      </c>
      <c r="X38" s="25">
        <f t="shared" si="42"/>
        <v>10499762.120000001</v>
      </c>
      <c r="Y38" s="25">
        <f t="shared" si="43"/>
        <v>514488343.88</v>
      </c>
      <c r="Z38" s="25">
        <v>787482159</v>
      </c>
      <c r="AA38" s="25">
        <f t="shared" si="44"/>
        <v>15749643.18</v>
      </c>
      <c r="AB38" s="25">
        <f t="shared" si="45"/>
        <v>771732515.82</v>
      </c>
      <c r="AC38" s="25">
        <f>524988106+154080592</f>
        <v>679068698</v>
      </c>
      <c r="AD38" s="25">
        <f t="shared" si="46"/>
        <v>13581373.96</v>
      </c>
      <c r="AE38" s="25">
        <f t="shared" si="47"/>
        <v>665487324.04</v>
      </c>
      <c r="AF38" s="25">
        <v>524988106</v>
      </c>
      <c r="AG38" s="25">
        <f t="shared" si="48"/>
        <v>10499762.120000001</v>
      </c>
      <c r="AH38" s="25">
        <f t="shared" si="49"/>
        <v>514488343.88</v>
      </c>
      <c r="AI38" s="25">
        <v>524988106</v>
      </c>
      <c r="AJ38" s="25">
        <f t="shared" si="50"/>
        <v>10499762.120000001</v>
      </c>
      <c r="AK38" s="25">
        <f t="shared" si="51"/>
        <v>514488343.88</v>
      </c>
      <c r="AL38" s="25">
        <v>1256832094</v>
      </c>
      <c r="AM38" s="25">
        <f t="shared" si="52"/>
        <v>25136641.88</v>
      </c>
      <c r="AN38" s="25">
        <f t="shared" si="53"/>
        <v>1231695452.12</v>
      </c>
      <c r="AO38" s="25">
        <v>583320118</v>
      </c>
      <c r="AP38" s="25">
        <f t="shared" si="54"/>
        <v>11666402.36</v>
      </c>
      <c r="AQ38" s="25">
        <f t="shared" si="55"/>
        <v>571653715.64</v>
      </c>
      <c r="AR38" s="25">
        <f>539414330+513601973+385308177</f>
        <v>1438324480</v>
      </c>
      <c r="AS38" s="25">
        <f t="shared" si="60"/>
        <v>28766489.6</v>
      </c>
      <c r="AT38" s="25">
        <f t="shared" si="61"/>
        <v>1409557990.4</v>
      </c>
      <c r="AU38" s="25">
        <f t="shared" si="62"/>
        <v>8944932396</v>
      </c>
      <c r="AV38" s="32">
        <f t="shared" si="56"/>
        <v>0</v>
      </c>
      <c r="AW38" s="46">
        <f t="shared" si="22"/>
        <v>1</v>
      </c>
    </row>
    <row r="39" spans="1:49" ht="12.75" thickBot="1">
      <c r="A39" s="40" t="s">
        <v>45</v>
      </c>
      <c r="B39" s="12">
        <v>4455415766</v>
      </c>
      <c r="C39" s="8"/>
      <c r="D39" s="8">
        <v>96859696</v>
      </c>
      <c r="E39" s="8">
        <v>290579088</v>
      </c>
      <c r="F39" s="8"/>
      <c r="G39" s="52">
        <f t="shared" si="34"/>
        <v>290579088</v>
      </c>
      <c r="H39" s="52">
        <v>301774162</v>
      </c>
      <c r="I39" s="25">
        <f t="shared" si="35"/>
        <v>5144628712</v>
      </c>
      <c r="J39" s="6">
        <f t="shared" si="57"/>
        <v>102892574.24000001</v>
      </c>
      <c r="K39" s="8">
        <f>267324946+29794435</f>
        <v>297119381</v>
      </c>
      <c r="L39" s="8">
        <f t="shared" si="36"/>
        <v>5942387.62</v>
      </c>
      <c r="M39" s="8">
        <f t="shared" si="37"/>
        <v>291176993.38</v>
      </c>
      <c r="N39" s="8">
        <v>554253721</v>
      </c>
      <c r="O39" s="6">
        <f t="shared" si="58"/>
        <v>11085074.42</v>
      </c>
      <c r="P39" s="6">
        <f t="shared" si="59"/>
        <v>543168646.58</v>
      </c>
      <c r="Q39" s="26">
        <v>336737769</v>
      </c>
      <c r="R39" s="25">
        <f t="shared" si="38"/>
        <v>6734755.38</v>
      </c>
      <c r="S39" s="25">
        <f t="shared" si="39"/>
        <v>330003013.62</v>
      </c>
      <c r="T39" s="25">
        <v>297027718</v>
      </c>
      <c r="U39" s="25">
        <f t="shared" si="40"/>
        <v>5940554.36</v>
      </c>
      <c r="V39" s="25">
        <f t="shared" si="41"/>
        <v>291087163.64</v>
      </c>
      <c r="W39" s="25">
        <v>297027718</v>
      </c>
      <c r="X39" s="25">
        <f t="shared" si="42"/>
        <v>5940554.36</v>
      </c>
      <c r="Y39" s="25">
        <f t="shared" si="43"/>
        <v>291087163.64</v>
      </c>
      <c r="Z39" s="25">
        <v>445541577</v>
      </c>
      <c r="AA39" s="25">
        <f t="shared" si="44"/>
        <v>8910831.540000001</v>
      </c>
      <c r="AB39" s="25">
        <f t="shared" si="45"/>
        <v>436630745.46</v>
      </c>
      <c r="AC39" s="25">
        <v>297027718</v>
      </c>
      <c r="AD39" s="25">
        <f t="shared" si="46"/>
        <v>5940554.36</v>
      </c>
      <c r="AE39" s="25">
        <f t="shared" si="47"/>
        <v>291087163.64</v>
      </c>
      <c r="AF39" s="25">
        <f>297027718+1820962</f>
        <v>298848680</v>
      </c>
      <c r="AG39" s="25">
        <f t="shared" si="48"/>
        <v>5976973.600000001</v>
      </c>
      <c r="AH39" s="25">
        <f t="shared" si="49"/>
        <v>292871706.4</v>
      </c>
      <c r="AI39" s="25">
        <f>297027718</f>
        <v>297027718</v>
      </c>
      <c r="AJ39" s="25">
        <f t="shared" si="50"/>
        <v>5940554.36</v>
      </c>
      <c r="AK39" s="25">
        <f t="shared" si="51"/>
        <v>291087163.64</v>
      </c>
      <c r="AL39" s="25">
        <v>711090545</v>
      </c>
      <c r="AM39" s="25">
        <f t="shared" si="52"/>
        <v>14221810.9</v>
      </c>
      <c r="AN39" s="25">
        <f t="shared" si="53"/>
        <v>696868734.1</v>
      </c>
      <c r="AO39" s="25">
        <v>330030797</v>
      </c>
      <c r="AP39" s="25">
        <f t="shared" si="54"/>
        <v>6600615.94</v>
      </c>
      <c r="AQ39" s="25">
        <f t="shared" si="55"/>
        <v>323430181.06</v>
      </c>
      <c r="AR39" s="25">
        <f>390542120+290579088+301774162</f>
        <v>982895370</v>
      </c>
      <c r="AS39" s="25">
        <f t="shared" si="60"/>
        <v>19657907.400000002</v>
      </c>
      <c r="AT39" s="25">
        <f t="shared" si="61"/>
        <v>963237462.6</v>
      </c>
      <c r="AU39" s="25">
        <f t="shared" si="62"/>
        <v>5144628712</v>
      </c>
      <c r="AV39" s="32">
        <f t="shared" si="56"/>
        <v>0</v>
      </c>
      <c r="AW39" s="47">
        <f t="shared" si="22"/>
        <v>1</v>
      </c>
    </row>
    <row r="40" spans="1:49" ht="13.5" thickBot="1" thickTop="1">
      <c r="A40" s="2" t="s">
        <v>3</v>
      </c>
      <c r="B40" s="3">
        <f>SUM(B23:B39)</f>
        <v>566441829134</v>
      </c>
      <c r="C40" s="4"/>
      <c r="D40" s="4">
        <f>SUM(D23:D39)</f>
        <v>12291258793</v>
      </c>
      <c r="E40" s="4">
        <f>SUM(E23:E39)</f>
        <v>36873776379</v>
      </c>
      <c r="F40" s="4"/>
      <c r="G40" s="4">
        <f>SUM(G23:G39)</f>
        <v>36873776379</v>
      </c>
      <c r="H40" s="4">
        <f>SUM(H23:H39)</f>
        <v>8751876004</v>
      </c>
      <c r="I40" s="4">
        <f aca="true" t="shared" si="63" ref="I40:S40">SUM(I23:I39)</f>
        <v>624358740310</v>
      </c>
      <c r="J40" s="4">
        <f t="shared" si="63"/>
        <v>12487174806.199997</v>
      </c>
      <c r="K40" s="4">
        <f t="shared" si="63"/>
        <v>37774442205</v>
      </c>
      <c r="L40" s="4">
        <f t="shared" si="63"/>
        <v>755488844.0999999</v>
      </c>
      <c r="M40" s="4">
        <f t="shared" si="63"/>
        <v>37018953360.9</v>
      </c>
      <c r="N40" s="4">
        <f t="shared" si="63"/>
        <v>70465734868</v>
      </c>
      <c r="O40" s="4">
        <f t="shared" si="63"/>
        <v>1409314697.3600001</v>
      </c>
      <c r="P40" s="4">
        <f t="shared" si="63"/>
        <v>69056420170.64</v>
      </c>
      <c r="Q40" s="4">
        <f t="shared" si="63"/>
        <v>42810977362</v>
      </c>
      <c r="R40" s="4">
        <f t="shared" si="63"/>
        <v>856219547.2399998</v>
      </c>
      <c r="S40" s="4">
        <f t="shared" si="63"/>
        <v>41954757814.759995</v>
      </c>
      <c r="T40" s="4">
        <f aca="true" t="shared" si="64" ref="T40:Y40">SUM(T23:T39)</f>
        <v>37762788609</v>
      </c>
      <c r="U40" s="4">
        <f t="shared" si="64"/>
        <v>755255772.18</v>
      </c>
      <c r="V40" s="4">
        <f t="shared" si="64"/>
        <v>37007532836.81999</v>
      </c>
      <c r="W40" s="4">
        <f t="shared" si="64"/>
        <v>37762788609</v>
      </c>
      <c r="X40" s="4">
        <f t="shared" si="64"/>
        <v>755255772.18</v>
      </c>
      <c r="Y40" s="4">
        <f t="shared" si="64"/>
        <v>37007532836.81999</v>
      </c>
      <c r="Z40" s="4">
        <f aca="true" t="shared" si="65" ref="Z40:AE40">SUM(Z23:Z39)</f>
        <v>56644182917</v>
      </c>
      <c r="AA40" s="4">
        <f t="shared" si="65"/>
        <v>1132883658.3400002</v>
      </c>
      <c r="AB40" s="4">
        <f t="shared" si="65"/>
        <v>55511299258.659996</v>
      </c>
      <c r="AC40" s="4">
        <f t="shared" si="65"/>
        <v>46235900431</v>
      </c>
      <c r="AD40" s="4">
        <f t="shared" si="65"/>
        <v>924718008.62</v>
      </c>
      <c r="AE40" s="4">
        <f t="shared" si="65"/>
        <v>45311182422.380005</v>
      </c>
      <c r="AF40" s="4">
        <f>SUM(AF23:AF39)</f>
        <v>39872739853</v>
      </c>
      <c r="AG40" s="4">
        <f>SUM(AG23:AG39)</f>
        <v>797454797.06</v>
      </c>
      <c r="AH40" s="4">
        <f>SUM(AH23:AH39)</f>
        <v>39075285055.93999</v>
      </c>
      <c r="AI40" s="4">
        <f>SUM(AI23:AI39)</f>
        <v>39882788609</v>
      </c>
      <c r="AJ40" s="4">
        <f>SUM(AJ23:AJ39)</f>
        <v>797655772.18</v>
      </c>
      <c r="AK40" s="4">
        <f t="shared" si="51"/>
        <v>39085132836.82</v>
      </c>
      <c r="AL40" s="4">
        <f aca="true" t="shared" si="66" ref="AL40:AU40">SUM(AL23:AL39)</f>
        <v>90266666989</v>
      </c>
      <c r="AM40" s="4">
        <f t="shared" si="66"/>
        <v>1805333339.7800004</v>
      </c>
      <c r="AN40" s="4">
        <f t="shared" si="66"/>
        <v>88461333649.22002</v>
      </c>
      <c r="AO40" s="4">
        <f t="shared" si="66"/>
        <v>47672269397</v>
      </c>
      <c r="AP40" s="4">
        <f t="shared" si="66"/>
        <v>953445387.94</v>
      </c>
      <c r="AQ40" s="4">
        <f t="shared" si="66"/>
        <v>46718824009.05999</v>
      </c>
      <c r="AR40" s="4">
        <f>SUM(AR23:AR39)</f>
        <v>77207460461</v>
      </c>
      <c r="AS40" s="4">
        <f>SUM(AS23:AS39)</f>
        <v>1544149209.22</v>
      </c>
      <c r="AT40" s="4">
        <f t="shared" si="61"/>
        <v>75663311251.78</v>
      </c>
      <c r="AU40" s="4">
        <f t="shared" si="66"/>
        <v>624358740310</v>
      </c>
      <c r="AV40" s="21">
        <f>SUM(AV23:AV39)</f>
        <v>0</v>
      </c>
      <c r="AW40" s="4"/>
    </row>
    <row r="41" spans="1:49" ht="15" customHeight="1" thickBot="1" thickTop="1">
      <c r="A41" s="16" t="s">
        <v>49</v>
      </c>
      <c r="B41" s="17" t="s">
        <v>10</v>
      </c>
      <c r="C41" s="18" t="s">
        <v>11</v>
      </c>
      <c r="D41" s="18"/>
      <c r="E41" s="18"/>
      <c r="F41" s="18"/>
      <c r="G41" s="18"/>
      <c r="H41" s="18"/>
      <c r="I41" s="19" t="s">
        <v>8</v>
      </c>
      <c r="J41" s="19"/>
      <c r="K41" s="19" t="s">
        <v>53</v>
      </c>
      <c r="L41" s="19"/>
      <c r="M41" s="19"/>
      <c r="N41" s="19" t="s">
        <v>57</v>
      </c>
      <c r="O41" s="19"/>
      <c r="P41" s="19"/>
      <c r="Q41" s="19" t="s">
        <v>60</v>
      </c>
      <c r="R41" s="19"/>
      <c r="S41" s="19" t="s">
        <v>60</v>
      </c>
      <c r="T41" s="19" t="s">
        <v>61</v>
      </c>
      <c r="U41" s="19"/>
      <c r="V41" s="19"/>
      <c r="W41" s="19" t="s">
        <v>63</v>
      </c>
      <c r="X41" s="19"/>
      <c r="Y41" s="19"/>
      <c r="Z41" s="19" t="s">
        <v>65</v>
      </c>
      <c r="AA41" s="19"/>
      <c r="AB41" s="19"/>
      <c r="AC41" s="19"/>
      <c r="AD41" s="19" t="s">
        <v>2</v>
      </c>
      <c r="AE41" s="19"/>
      <c r="AF41" s="19" t="s">
        <v>71</v>
      </c>
      <c r="AG41" s="19"/>
      <c r="AH41" s="19"/>
      <c r="AI41" s="19" t="s">
        <v>72</v>
      </c>
      <c r="AJ41" s="19"/>
      <c r="AK41" s="19"/>
      <c r="AL41" s="19" t="s">
        <v>75</v>
      </c>
      <c r="AM41" s="19"/>
      <c r="AN41" s="19"/>
      <c r="AO41" s="19"/>
      <c r="AP41" s="19"/>
      <c r="AQ41" s="19"/>
      <c r="AR41" s="19"/>
      <c r="AS41" s="19"/>
      <c r="AT41" s="19"/>
      <c r="AU41" s="19" t="s">
        <v>81</v>
      </c>
      <c r="AV41" s="34" t="s">
        <v>52</v>
      </c>
      <c r="AW41" s="49"/>
    </row>
    <row r="42" spans="1:49" ht="13.5" thickBot="1" thickTop="1">
      <c r="A42" s="38" t="s">
        <v>40</v>
      </c>
      <c r="B42" s="9">
        <v>1072244372</v>
      </c>
      <c r="C42" s="13"/>
      <c r="D42" s="13"/>
      <c r="E42" s="13"/>
      <c r="F42" s="13"/>
      <c r="G42" s="13"/>
      <c r="H42" s="13"/>
      <c r="I42" s="5">
        <f>B42-C42</f>
        <v>1072244372</v>
      </c>
      <c r="J42" s="5"/>
      <c r="K42" s="5"/>
      <c r="L42" s="5"/>
      <c r="M42" s="5"/>
      <c r="N42" s="20">
        <v>136562238</v>
      </c>
      <c r="O42" s="20"/>
      <c r="P42" s="20"/>
      <c r="Q42" s="20">
        <v>52000000</v>
      </c>
      <c r="R42" s="20"/>
      <c r="S42" s="20"/>
      <c r="T42" s="20">
        <v>15000000</v>
      </c>
      <c r="U42" s="20"/>
      <c r="V42" s="20"/>
      <c r="W42" s="20">
        <v>139949930</v>
      </c>
      <c r="X42" s="20"/>
      <c r="Y42" s="20"/>
      <c r="Z42" s="20">
        <v>52000000</v>
      </c>
      <c r="AA42" s="20"/>
      <c r="AB42" s="20"/>
      <c r="AC42" s="20"/>
      <c r="AD42" s="20"/>
      <c r="AE42" s="20"/>
      <c r="AF42" s="20">
        <v>156000000</v>
      </c>
      <c r="AG42" s="20"/>
      <c r="AH42" s="20"/>
      <c r="AI42" s="20">
        <v>58000000</v>
      </c>
      <c r="AJ42" s="20"/>
      <c r="AK42" s="20"/>
      <c r="AL42" s="20">
        <v>462732204</v>
      </c>
      <c r="AM42" s="20"/>
      <c r="AN42" s="20"/>
      <c r="AO42" s="20"/>
      <c r="AP42" s="20"/>
      <c r="AQ42" s="20"/>
      <c r="AR42" s="20"/>
      <c r="AS42" s="20"/>
      <c r="AT42" s="20"/>
      <c r="AU42" s="20">
        <f>SUM(I42)</f>
        <v>1072244372</v>
      </c>
      <c r="AV42" s="20">
        <f>I42-AU42</f>
        <v>0</v>
      </c>
      <c r="AW42" s="47">
        <v>1</v>
      </c>
    </row>
    <row r="43" spans="1:49" ht="13.5" thickBot="1" thickTop="1">
      <c r="A43" s="41" t="s">
        <v>41</v>
      </c>
      <c r="B43" s="14">
        <v>58955546</v>
      </c>
      <c r="C43" s="15"/>
      <c r="D43" s="15"/>
      <c r="E43" s="15"/>
      <c r="F43" s="15"/>
      <c r="G43" s="15"/>
      <c r="H43" s="15"/>
      <c r="I43" s="7">
        <f>B43-C43</f>
        <v>58955546</v>
      </c>
      <c r="J43" s="7"/>
      <c r="K43" s="7"/>
      <c r="L43" s="7"/>
      <c r="M43" s="7"/>
      <c r="N43" s="24"/>
      <c r="O43" s="24"/>
      <c r="P43" s="24"/>
      <c r="Q43" s="24">
        <v>58955546</v>
      </c>
      <c r="R43" s="24"/>
      <c r="S43" s="24">
        <v>58955546</v>
      </c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>
        <f>I43</f>
        <v>58955546</v>
      </c>
      <c r="AV43" s="20">
        <f>I43-AU43</f>
        <v>0</v>
      </c>
      <c r="AW43" s="47">
        <v>1</v>
      </c>
    </row>
    <row r="44" spans="1:49" ht="13.5" thickBot="1" thickTop="1">
      <c r="A44" s="2" t="s">
        <v>42</v>
      </c>
      <c r="B44" s="3">
        <f>SUM(B42:B43)</f>
        <v>1131199918</v>
      </c>
      <c r="C44" s="4"/>
      <c r="D44" s="4"/>
      <c r="E44" s="4"/>
      <c r="F44" s="4"/>
      <c r="G44" s="4"/>
      <c r="H44" s="4"/>
      <c r="I44" s="3">
        <f>SUM(I42:I43)</f>
        <v>1131199918</v>
      </c>
      <c r="J44" s="3"/>
      <c r="K44" s="3"/>
      <c r="L44" s="3"/>
      <c r="M44" s="3"/>
      <c r="N44" s="3">
        <f>SUM(N42)</f>
        <v>136562238</v>
      </c>
      <c r="O44" s="3"/>
      <c r="P44" s="3"/>
      <c r="Q44" s="3">
        <f>SUM(Q42:Q43)</f>
        <v>110955546</v>
      </c>
      <c r="R44" s="3"/>
      <c r="S44" s="3"/>
      <c r="T44" s="3">
        <f>T42</f>
        <v>15000000</v>
      </c>
      <c r="U44" s="3"/>
      <c r="V44" s="3"/>
      <c r="W44" s="3">
        <f>SUM(W42)</f>
        <v>139949930</v>
      </c>
      <c r="X44" s="3"/>
      <c r="Y44" s="3"/>
      <c r="Z44" s="3">
        <f>SUM(Z42)</f>
        <v>52000000</v>
      </c>
      <c r="AA44" s="3"/>
      <c r="AB44" s="3"/>
      <c r="AC44" s="3"/>
      <c r="AD44" s="3"/>
      <c r="AE44" s="3"/>
      <c r="AF44" s="3">
        <f>AF42</f>
        <v>156000000</v>
      </c>
      <c r="AG44" s="3"/>
      <c r="AH44" s="3"/>
      <c r="AI44" s="3">
        <v>58000000</v>
      </c>
      <c r="AJ44" s="3"/>
      <c r="AK44" s="3"/>
      <c r="AL44" s="3">
        <v>462732204</v>
      </c>
      <c r="AM44" s="3"/>
      <c r="AN44" s="3"/>
      <c r="AO44" s="3"/>
      <c r="AP44" s="3"/>
      <c r="AQ44" s="3"/>
      <c r="AR44" s="3"/>
      <c r="AS44" s="3"/>
      <c r="AT44" s="3"/>
      <c r="AU44" s="3">
        <f>SUM(AU42:AU43)</f>
        <v>1131199918</v>
      </c>
      <c r="AV44" s="35">
        <f>SUM(AV42:AV43)</f>
        <v>0</v>
      </c>
      <c r="AW44" s="50"/>
    </row>
    <row r="45" spans="1:49" ht="13.5" thickBot="1" thickTop="1">
      <c r="A45" s="3" t="s">
        <v>4</v>
      </c>
      <c r="B45" s="3">
        <f>SUM(B44+B40+B21)</f>
        <v>1353605549910</v>
      </c>
      <c r="C45" s="4">
        <f>SUM(C21)</f>
        <v>1687913166</v>
      </c>
      <c r="D45" s="4">
        <f>SUM(D40+D21)</f>
        <v>26653547606</v>
      </c>
      <c r="E45" s="4">
        <f>SUM(E40+E21)</f>
        <v>80960642819</v>
      </c>
      <c r="F45" s="4"/>
      <c r="G45" s="4">
        <f>SUM(G40+G21)</f>
        <v>80825471124</v>
      </c>
      <c r="H45" s="4">
        <f>SUM(H40+H21)</f>
        <v>17150494709</v>
      </c>
      <c r="I45" s="3">
        <f>SUM(I44+I40+I21)</f>
        <v>1476547150183</v>
      </c>
      <c r="J45" s="3">
        <f aca="true" t="shared" si="67" ref="J45:P45">SUM(J40+J21)</f>
        <v>29508319005.299995</v>
      </c>
      <c r="K45" s="3">
        <f t="shared" si="67"/>
        <v>90080186208</v>
      </c>
      <c r="L45" s="3">
        <f t="shared" si="67"/>
        <v>1801603724.1599998</v>
      </c>
      <c r="M45" s="3">
        <f t="shared" si="67"/>
        <v>88278582483.84</v>
      </c>
      <c r="N45" s="3">
        <f>SUM(N44+N40+N21)</f>
        <v>168174766302</v>
      </c>
      <c r="O45" s="3">
        <f t="shared" si="67"/>
        <v>3360764081.2800007</v>
      </c>
      <c r="P45" s="3">
        <f t="shared" si="67"/>
        <v>164677439982.71997</v>
      </c>
      <c r="Q45" s="3">
        <f>SUM(Q44+Q40+Q21)</f>
        <v>102202281760</v>
      </c>
      <c r="R45" s="3">
        <f>SUM(R40+R21)</f>
        <v>2041826524.2799995</v>
      </c>
      <c r="S45" s="3">
        <f>SUM(S40+S21)</f>
        <v>100049499689.71999</v>
      </c>
      <c r="T45" s="3">
        <f>SUM(T44+T40+T21)</f>
        <v>73806880874</v>
      </c>
      <c r="U45" s="3">
        <f>SUM(U40+U21)</f>
        <v>1475837617.48</v>
      </c>
      <c r="V45" s="3">
        <f>SUM(V40+V21)</f>
        <v>72316043256.51999</v>
      </c>
      <c r="W45" s="3">
        <f>SUM(W44+W40+W21)</f>
        <v>90303153238</v>
      </c>
      <c r="X45" s="3">
        <f>SUM(X40+X21)</f>
        <v>1803264066.1599998</v>
      </c>
      <c r="Y45" s="3">
        <f>SUM(Y40+Y21)</f>
        <v>88359939241.84</v>
      </c>
      <c r="Z45" s="3">
        <f>SUM(Z44+Z40+Z21)</f>
        <v>151918301443</v>
      </c>
      <c r="AA45" s="3">
        <f>SUM(AA40+AA21)</f>
        <v>3037326028.8599997</v>
      </c>
      <c r="AB45" s="3">
        <f>SUM(AB40+AB21)</f>
        <v>148828975414.13998</v>
      </c>
      <c r="AC45" s="3">
        <f>SUM(AC40+AC21)</f>
        <v>105178651441</v>
      </c>
      <c r="AD45" s="3">
        <f>SUM(AD40+AD21)</f>
        <v>2103573028.8200002</v>
      </c>
      <c r="AE45" s="3">
        <f>SUM(AE40+AE21)</f>
        <v>103075078412.18001</v>
      </c>
      <c r="AF45" s="3">
        <f>SUM(AF44+AF40+AF21)</f>
        <v>96947169666</v>
      </c>
      <c r="AG45" s="3">
        <f>SUM(AG40+AG21)</f>
        <v>1935823393.32</v>
      </c>
      <c r="AH45" s="3">
        <f>SUM(AH40+AH21)</f>
        <v>94855346272.68</v>
      </c>
      <c r="AI45" s="3">
        <f>SUM(AI44+AI40+AI21)</f>
        <v>92236225242</v>
      </c>
      <c r="AJ45" s="3">
        <f>SUM(AJ40+AJ21)</f>
        <v>1843564504.84</v>
      </c>
      <c r="AK45" s="3">
        <f>SUM(AK40+AK21)</f>
        <v>90334660737.16</v>
      </c>
      <c r="AL45" s="3">
        <f>SUM(AL44+AL40+AL21)</f>
        <v>205077957290</v>
      </c>
      <c r="AM45" s="3">
        <f aca="true" t="shared" si="68" ref="AM45:AT45">SUM(AM40+AM21)</f>
        <v>4092304501.7199993</v>
      </c>
      <c r="AN45" s="3">
        <f t="shared" si="68"/>
        <v>200522920584.28003</v>
      </c>
      <c r="AO45" s="3">
        <f t="shared" si="68"/>
        <v>112940999323</v>
      </c>
      <c r="AP45" s="3">
        <f t="shared" si="68"/>
        <v>2258819986.46</v>
      </c>
      <c r="AQ45" s="3">
        <f t="shared" si="68"/>
        <v>110682179336.54</v>
      </c>
      <c r="AR45" s="3">
        <f t="shared" si="68"/>
        <v>187680577396</v>
      </c>
      <c r="AS45" s="3">
        <f t="shared" si="68"/>
        <v>3604355556.26</v>
      </c>
      <c r="AT45" s="3">
        <f t="shared" si="68"/>
        <v>184076221839.74</v>
      </c>
      <c r="AU45" s="3">
        <f>SUM(AU44+AU40+AU21)</f>
        <v>1476547150183</v>
      </c>
      <c r="AV45" s="35">
        <f>SUM(AV40+AV21)</f>
        <v>0</v>
      </c>
      <c r="AW45" s="3"/>
    </row>
    <row r="46" ht="12.75" thickTop="1"/>
  </sheetData>
  <mergeCells count="1">
    <mergeCell ref="A1:AV1"/>
  </mergeCells>
  <printOptions horizontalCentered="1" verticalCentered="1"/>
  <pageMargins left="0.984251968503937" right="0.15748031496062992" top="0.7874015748031497" bottom="0.984251968503937" header="0" footer="0"/>
  <pageSetup horizontalDpi="300" verticalDpi="300" orientation="landscape" paperSize="5" scale="85" r:id="rId1"/>
  <headerFooter alignWithMargins="0">
    <oddFooter>&amp;L         Grupo de Presupuesto
         elaborado por M.R.S.               &amp;C&amp;D&amp;R&amp;F</oddFooter>
  </headerFooter>
  <ignoredErrors>
    <ignoredError sqref="K4:K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 Educación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Division Administrativa</dc:creator>
  <cp:keywords/>
  <dc:description/>
  <cp:lastModifiedBy>JFontecha</cp:lastModifiedBy>
  <cp:lastPrinted>2006-01-18T16:49:26Z</cp:lastPrinted>
  <dcterms:created xsi:type="dcterms:W3CDTF">1999-03-10T15:38:10Z</dcterms:created>
  <dcterms:modified xsi:type="dcterms:W3CDTF">2006-02-16T18:24:23Z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-930171248</vt:i4>
  </property>
  <property fmtid="{D5CDD505-2E9C-101B-9397-08002B2CF9AE}" pid="3" name="_EmailSubject">
    <vt:lpwstr>INFOUNI-DICIEMBRE2005.xls</vt:lpwstr>
  </property>
  <property fmtid="{D5CDD505-2E9C-101B-9397-08002B2CF9AE}" pid="4" name="_AuthorEmail">
    <vt:lpwstr>MRoberts@mineducacion.gov.co</vt:lpwstr>
  </property>
  <property fmtid="{D5CDD505-2E9C-101B-9397-08002B2CF9AE}" pid="5" name="_AuthorEmailDisplayName">
    <vt:lpwstr>Martha Roberts Sánchez</vt:lpwstr>
  </property>
</Properties>
</file>