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20" windowHeight="4200" activeTab="0"/>
  </bookViews>
  <sheets>
    <sheet name="Hoja1" sheetId="1" r:id="rId1"/>
  </sheets>
  <definedNames>
    <definedName name="_xlnm.Print_Area" localSheetId="0">'Hoja1'!$A$1:$AB$44</definedName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<sst xmlns="http://schemas.openxmlformats.org/spreadsheetml/2006/main" count="115" uniqueCount="71">
  <si>
    <t>APROPIACION INICIAL</t>
  </si>
  <si>
    <t>2% ICFES</t>
  </si>
  <si>
    <t>TOTAL UNIV. NALES</t>
  </si>
  <si>
    <t xml:space="preserve"> </t>
  </si>
  <si>
    <t>TOTAL UNIV. DEPTALES</t>
  </si>
  <si>
    <t>GRAN TOTAL</t>
  </si>
  <si>
    <t>S.S.F</t>
  </si>
  <si>
    <t>GIRO ENERO</t>
  </si>
  <si>
    <t>MENOS S.S.F.</t>
  </si>
  <si>
    <t>APROP. DEF. CON SF</t>
  </si>
  <si>
    <t>APROP. DEF. CON SF.</t>
  </si>
  <si>
    <t>APROP. INICIAL</t>
  </si>
  <si>
    <t>S.S.F.</t>
  </si>
  <si>
    <t>DEL CAUCA</t>
  </si>
  <si>
    <t>PEDAGOGICA</t>
  </si>
  <si>
    <t>CALDAS</t>
  </si>
  <si>
    <t>TUNJA</t>
  </si>
  <si>
    <t>CORDOBA</t>
  </si>
  <si>
    <t>TECNOL. CHOCO</t>
  </si>
  <si>
    <t>LLANOS</t>
  </si>
  <si>
    <t>TECNOL. PEREIRA</t>
  </si>
  <si>
    <t xml:space="preserve">SURCOLOMBIANA </t>
  </si>
  <si>
    <t>AMAZONIA</t>
  </si>
  <si>
    <t>COL. MAYOR C/MARCA</t>
  </si>
  <si>
    <t>PACIFICO</t>
  </si>
  <si>
    <t>POP. CESAR AGUACHICA</t>
  </si>
  <si>
    <t>ANTIOQUIA</t>
  </si>
  <si>
    <t>CARTAGENA</t>
  </si>
  <si>
    <t xml:space="preserve">NARIÑO </t>
  </si>
  <si>
    <t>ATLANTICO</t>
  </si>
  <si>
    <t>QUINDIO</t>
  </si>
  <si>
    <t>TOLIMA</t>
  </si>
  <si>
    <t>VALLE</t>
  </si>
  <si>
    <t>FCO. JOSE DE CALDAS</t>
  </si>
  <si>
    <t>INDUST. SAN/DER</t>
  </si>
  <si>
    <t>TECNOL. MAGDA.</t>
  </si>
  <si>
    <t>FCO.PAUL.SADER-CUCUTA</t>
  </si>
  <si>
    <t>FCO.PAUL.SADER-OCAÑA</t>
  </si>
  <si>
    <t>SUCRE</t>
  </si>
  <si>
    <t>VALLE DEL C. TULUA</t>
  </si>
  <si>
    <t>GUAJIRA</t>
  </si>
  <si>
    <t>UNINAL DE COLOMBIA</t>
  </si>
  <si>
    <t>UNIV. SURCOLOMBIANA</t>
  </si>
  <si>
    <t>TOTAL SERVICIO DEUDA</t>
  </si>
  <si>
    <t>UNIVER. NACIONALES</t>
  </si>
  <si>
    <t>UNIVER. NUEVA GRANADA</t>
  </si>
  <si>
    <t>CUNDINAMARCA</t>
  </si>
  <si>
    <t>PAMPLONA</t>
  </si>
  <si>
    <t>%</t>
  </si>
  <si>
    <t>UNIV. DEPTALES</t>
  </si>
  <si>
    <t>APROP.DEF. CON S.F.</t>
  </si>
  <si>
    <t>SERVICIO DEUDA U.NALES</t>
  </si>
  <si>
    <t>NETO ENERO</t>
  </si>
  <si>
    <t>POPULAR DEL CESAR</t>
  </si>
  <si>
    <t>SALDO APROPIACION</t>
  </si>
  <si>
    <t>ENERO</t>
  </si>
  <si>
    <t>UNIVERSIDADES NACIONALES Y DEPARTAMENTALES VIGENCIA 2005</t>
  </si>
  <si>
    <t>NETO FEBRERO</t>
  </si>
  <si>
    <t>TOTAL FEBRERO</t>
  </si>
  <si>
    <t>GIRO FEBRERO</t>
  </si>
  <si>
    <t>FEBRERO</t>
  </si>
  <si>
    <t xml:space="preserve">2% ICFES </t>
  </si>
  <si>
    <t>NETO MARZO</t>
  </si>
  <si>
    <t>MARZO</t>
  </si>
  <si>
    <t>ABRIL</t>
  </si>
  <si>
    <t>NETO ABRIL</t>
  </si>
  <si>
    <t>MAYO</t>
  </si>
  <si>
    <t>NETO MAYO</t>
  </si>
  <si>
    <t>JUNIO</t>
  </si>
  <si>
    <t>NETO JUNIO</t>
  </si>
  <si>
    <t>TOTAL JUNIO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</si>
</sst>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_);\(#,##0&quot;$&quot;\)"/>
    <numFmt numFmtId="165" formatCode="#,##0&quot;$&quot;_);[Red]\(#,##0&quot;$&quot;\)"/>
    <numFmt numFmtId="166" formatCode="#,##0.00&quot;$&quot;_);\(#,##0.00&quot;$&quot;\)"/>
    <numFmt numFmtId="167" formatCode="#,##0.00&quot;$&quot;_);[Red]\(#,##0.00&quot;$&quot;\)"/>
    <numFmt numFmtId="168" formatCode="_ * #,##0_)&quot;$&quot;_ ;_ * \(#,##0\)&quot;$&quot;_ ;_ * &quot;-&quot;_)&quot;$&quot;_ ;_ @_ "/>
    <numFmt numFmtId="169" formatCode="_ * #,##0_)_$_ ;_ * \(#,##0\)_$_ ;_ * &quot;-&quot;_)_$_ ;_ @_ "/>
    <numFmt numFmtId="170" formatCode="_ * #,##0.00_)&quot;$&quot;_ ;_ * \(#,##0.00\)&quot;$&quot;_ ;_ * &quot;-&quot;??_)&quot;$&quot;_ ;_ @_ "/>
    <numFmt numFmtId="171" formatCode="_ * #,##0.00_)_$_ ;_ * \(#,##0.00\)_$_ ;_ * &quot;-&quot;??_)_$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_ * #,##0_)_$_ ;_ * \(#,##0\)_$_ ;_ * &quot;-&quot;??_)_$_ ;_ @_ "/>
    <numFmt numFmtId="179" formatCode="_ * #,##0.0_)_$_ ;_ * \(#,##0.0\)_$_ ;_ * &quot;-&quot;??_)_$_ ;_ @_ "/>
    <numFmt numFmtId="180" formatCode="_(* #,##0.0_);_(* \(#,##0.0\);_(* &quot;-&quot;??_);_(@_)"/>
    <numFmt numFmtId="181" formatCode="_(* #,##0_);_(* \(#,##0\);_(* &quot;-&quot;??_);_(@_)"/>
    <numFmt numFmtId="182" formatCode="0_);\(0\)"/>
    <numFmt numFmtId="183" formatCode="0.00_);\(0.00\)"/>
    <numFmt numFmtId="184" formatCode="#,##0_ ;\-#,##0\ "/>
    <numFmt numFmtId="185" formatCode="#,##0.000"/>
    <numFmt numFmtId="186" formatCode="#,##0.0"/>
    <numFmt numFmtId="187" formatCode="&quot;$&quot;#,##0.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 shrinkToFit="1"/>
    </xf>
    <xf numFmtId="178" fontId="3" fillId="2" borderId="1" xfId="19" applyNumberFormat="1" applyFont="1" applyFill="1" applyBorder="1" applyAlignment="1">
      <alignment horizontal="center" wrapText="1" shrinkToFi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19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9" fontId="4" fillId="0" borderId="4" xfId="22" applyFont="1" applyBorder="1" applyAlignment="1">
      <alignment horizontal="center"/>
    </xf>
    <xf numFmtId="3" fontId="4" fillId="0" borderId="5" xfId="19" applyNumberFormat="1" applyFont="1" applyBorder="1" applyAlignment="1">
      <alignment/>
    </xf>
    <xf numFmtId="3" fontId="4" fillId="0" borderId="6" xfId="19" applyNumberFormat="1" applyFont="1" applyBorder="1" applyAlignment="1">
      <alignment/>
    </xf>
    <xf numFmtId="9" fontId="4" fillId="0" borderId="4" xfId="22" applyFont="1" applyBorder="1" applyAlignment="1">
      <alignment/>
    </xf>
    <xf numFmtId="9" fontId="4" fillId="0" borderId="7" xfId="22" applyFont="1" applyBorder="1" applyAlignment="1">
      <alignment/>
    </xf>
    <xf numFmtId="3" fontId="4" fillId="0" borderId="8" xfId="19" applyNumberFormat="1" applyFont="1" applyBorder="1" applyAlignment="1">
      <alignment/>
    </xf>
    <xf numFmtId="0" fontId="4" fillId="0" borderId="9" xfId="0" applyFont="1" applyBorder="1" applyAlignment="1">
      <alignment/>
    </xf>
    <xf numFmtId="3" fontId="4" fillId="0" borderId="10" xfId="19" applyNumberFormat="1" applyFont="1" applyBorder="1" applyAlignment="1">
      <alignment/>
    </xf>
    <xf numFmtId="3" fontId="4" fillId="0" borderId="11" xfId="19" applyNumberFormat="1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3" xfId="19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3" fillId="2" borderId="1" xfId="0" applyNumberFormat="1" applyFont="1" applyFill="1" applyBorder="1" applyAlignment="1">
      <alignment horizontal="center" wrapText="1" shrinkToFit="1"/>
    </xf>
    <xf numFmtId="3" fontId="4" fillId="0" borderId="13" xfId="0" applyNumberFormat="1" applyFont="1" applyBorder="1" applyAlignment="1">
      <alignment/>
    </xf>
    <xf numFmtId="3" fontId="3" fillId="0" borderId="5" xfId="19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10" xfId="19" applyNumberFormat="1" applyFont="1" applyBorder="1" applyAlignment="1">
      <alignment/>
    </xf>
    <xf numFmtId="0" fontId="3" fillId="3" borderId="14" xfId="0" applyFont="1" applyFill="1" applyBorder="1" applyAlignment="1">
      <alignment horizontal="center" wrapText="1"/>
    </xf>
    <xf numFmtId="3" fontId="3" fillId="3" borderId="15" xfId="0" applyNumberFormat="1" applyFont="1" applyFill="1" applyBorder="1" applyAlignment="1">
      <alignment wrapText="1"/>
    </xf>
    <xf numFmtId="3" fontId="3" fillId="3" borderId="15" xfId="19" applyNumberFormat="1" applyFont="1" applyFill="1" applyBorder="1" applyAlignment="1">
      <alignment wrapText="1"/>
    </xf>
    <xf numFmtId="3" fontId="3" fillId="3" borderId="15" xfId="19" applyNumberFormat="1" applyFont="1" applyFill="1" applyBorder="1" applyAlignment="1">
      <alignment horizontal="center" wrapText="1"/>
    </xf>
    <xf numFmtId="3" fontId="3" fillId="3" borderId="16" xfId="0" applyNumberFormat="1" applyFont="1" applyFill="1" applyBorder="1" applyAlignment="1">
      <alignment horizontal="center" wrapText="1"/>
    </xf>
    <xf numFmtId="178" fontId="3" fillId="3" borderId="17" xfId="19" applyNumberFormat="1" applyFont="1" applyFill="1" applyBorder="1" applyAlignment="1">
      <alignment horizontal="center" wrapText="1" shrinkToFit="1"/>
    </xf>
    <xf numFmtId="3" fontId="4" fillId="0" borderId="18" xfId="19" applyNumberFormat="1" applyFont="1" applyBorder="1" applyAlignment="1">
      <alignment/>
    </xf>
    <xf numFmtId="3" fontId="4" fillId="0" borderId="19" xfId="19" applyNumberFormat="1" applyFont="1" applyBorder="1" applyAlignment="1">
      <alignment/>
    </xf>
    <xf numFmtId="3" fontId="4" fillId="0" borderId="20" xfId="19" applyNumberFormat="1" applyFont="1" applyBorder="1" applyAlignment="1">
      <alignment/>
    </xf>
    <xf numFmtId="3" fontId="3" fillId="0" borderId="21" xfId="19" applyNumberFormat="1" applyFont="1" applyBorder="1" applyAlignment="1">
      <alignment/>
    </xf>
    <xf numFmtId="4" fontId="3" fillId="0" borderId="22" xfId="19" applyNumberFormat="1" applyFont="1" applyBorder="1" applyAlignment="1">
      <alignment/>
    </xf>
    <xf numFmtId="0" fontId="3" fillId="2" borderId="23" xfId="0" applyFont="1" applyFill="1" applyBorder="1" applyAlignment="1">
      <alignment horizontal="center" wrapText="1"/>
    </xf>
    <xf numFmtId="3" fontId="3" fillId="2" borderId="24" xfId="0" applyNumberFormat="1" applyFont="1" applyFill="1" applyBorder="1" applyAlignment="1">
      <alignment horizontal="center" wrapText="1" shrinkToFit="1"/>
    </xf>
    <xf numFmtId="3" fontId="4" fillId="0" borderId="25" xfId="19" applyNumberFormat="1" applyFont="1" applyBorder="1" applyAlignment="1">
      <alignment/>
    </xf>
    <xf numFmtId="3" fontId="4" fillId="0" borderId="26" xfId="19" applyNumberFormat="1" applyFont="1" applyBorder="1" applyAlignment="1">
      <alignment/>
    </xf>
    <xf numFmtId="3" fontId="4" fillId="0" borderId="27" xfId="19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4" fillId="0" borderId="28" xfId="19" applyNumberFormat="1" applyFont="1" applyBorder="1" applyAlignment="1">
      <alignment horizontal="right"/>
    </xf>
    <xf numFmtId="9" fontId="4" fillId="0" borderId="0" xfId="22" applyFont="1" applyBorder="1" applyAlignment="1">
      <alignment horizontal="center"/>
    </xf>
    <xf numFmtId="4" fontId="4" fillId="0" borderId="29" xfId="19" applyNumberFormat="1" applyFont="1" applyBorder="1" applyAlignment="1">
      <alignment horizontal="right"/>
    </xf>
    <xf numFmtId="9" fontId="4" fillId="0" borderId="0" xfId="22" applyFont="1" applyBorder="1" applyAlignment="1">
      <alignment/>
    </xf>
    <xf numFmtId="4" fontId="4" fillId="0" borderId="30" xfId="19" applyNumberFormat="1" applyFont="1" applyBorder="1" applyAlignment="1">
      <alignment horizontal="right"/>
    </xf>
    <xf numFmtId="43" fontId="4" fillId="0" borderId="0" xfId="17" applyFont="1" applyBorder="1" applyAlignment="1">
      <alignment/>
    </xf>
    <xf numFmtId="178" fontId="3" fillId="0" borderId="0" xfId="19" applyNumberFormat="1" applyFont="1" applyFill="1" applyBorder="1" applyAlignment="1">
      <alignment horizontal="center" wrapText="1" shrinkToFit="1"/>
    </xf>
    <xf numFmtId="9" fontId="4" fillId="0" borderId="0" xfId="22" applyFont="1" applyBorder="1" applyAlignment="1">
      <alignment/>
    </xf>
    <xf numFmtId="43" fontId="4" fillId="0" borderId="0" xfId="17" applyFont="1" applyBorder="1" applyAlignment="1">
      <alignment/>
    </xf>
    <xf numFmtId="178" fontId="3" fillId="0" borderId="0" xfId="19" applyNumberFormat="1" applyFont="1" applyFill="1" applyBorder="1" applyAlignment="1">
      <alignment horizontal="center" wrapText="1"/>
    </xf>
    <xf numFmtId="171" fontId="3" fillId="0" borderId="0" xfId="19" applyFont="1" applyBorder="1" applyAlignment="1">
      <alignment/>
    </xf>
    <xf numFmtId="171" fontId="3" fillId="0" borderId="24" xfId="19" applyFont="1" applyBorder="1" applyAlignment="1">
      <alignment/>
    </xf>
    <xf numFmtId="171" fontId="3" fillId="0" borderId="1" xfId="19" applyFont="1" applyBorder="1" applyAlignment="1">
      <alignment/>
    </xf>
    <xf numFmtId="3" fontId="4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9" fontId="4" fillId="0" borderId="31" xfId="22" applyFont="1" applyBorder="1" applyAlignment="1">
      <alignment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4" fillId="0" borderId="0" xfId="19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17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3" fillId="0" borderId="0" xfId="19" applyNumberFormat="1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center"/>
    </xf>
    <xf numFmtId="3" fontId="3" fillId="0" borderId="0" xfId="17" applyNumberFormat="1" applyFont="1" applyBorder="1" applyAlignment="1">
      <alignment/>
    </xf>
    <xf numFmtId="3" fontId="3" fillId="0" borderId="0" xfId="19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3" fillId="4" borderId="21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Hoj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4"/>
  <sheetViews>
    <sheetView tabSelected="1" workbookViewId="0" topLeftCell="A1">
      <pane xSplit="1" ySplit="2" topLeftCell="W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Z3" sqref="Z3"/>
    </sheetView>
  </sheetViews>
  <sheetFormatPr defaultColWidth="11.421875" defaultRowHeight="12.75"/>
  <cols>
    <col min="1" max="1" width="22.140625" style="44" customWidth="1"/>
    <col min="2" max="2" width="15.7109375" style="44" bestFit="1" customWidth="1"/>
    <col min="3" max="3" width="0.9921875" style="44" hidden="1" customWidth="1"/>
    <col min="4" max="4" width="12.28125" style="44" bestFit="1" customWidth="1"/>
    <col min="5" max="5" width="18.140625" style="44" bestFit="1" customWidth="1"/>
    <col min="6" max="6" width="13.28125" style="44" bestFit="1" customWidth="1"/>
    <col min="7" max="7" width="15.7109375" style="44" bestFit="1" customWidth="1"/>
    <col min="8" max="8" width="12.28125" style="44" bestFit="1" customWidth="1"/>
    <col min="9" max="9" width="13.28125" style="44" bestFit="1" customWidth="1"/>
    <col min="10" max="10" width="14.28125" style="44" customWidth="1"/>
    <col min="11" max="11" width="12.28125" style="44" bestFit="1" customWidth="1"/>
    <col min="12" max="12" width="14.28125" style="44" bestFit="1" customWidth="1"/>
    <col min="13" max="26" width="14.8515625" style="44" customWidth="1"/>
    <col min="27" max="27" width="18.7109375" style="44" bestFit="1" customWidth="1"/>
    <col min="28" max="28" width="6.57421875" style="44" bestFit="1" customWidth="1"/>
    <col min="29" max="29" width="6.00390625" style="44" customWidth="1"/>
    <col min="30" max="30" width="14.140625" style="44" bestFit="1" customWidth="1"/>
    <col min="31" max="31" width="14.7109375" style="60" bestFit="1" customWidth="1"/>
    <col min="32" max="32" width="12.28125" style="60" bestFit="1" customWidth="1"/>
    <col min="33" max="33" width="14.28125" style="44" bestFit="1" customWidth="1"/>
    <col min="34" max="16384" width="11.421875" style="44" customWidth="1"/>
  </cols>
  <sheetData>
    <row r="1" spans="1:30" ht="13.5" thickBot="1" thickTop="1">
      <c r="A1" s="75" t="s">
        <v>56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7"/>
      <c r="AC1" s="43"/>
      <c r="AD1" s="43"/>
    </row>
    <row r="2" spans="1:33" s="46" customFormat="1" ht="13.5" customHeight="1" thickBot="1" thickTop="1">
      <c r="A2" s="1" t="s">
        <v>44</v>
      </c>
      <c r="B2" s="1" t="s">
        <v>11</v>
      </c>
      <c r="C2" s="1" t="s">
        <v>0</v>
      </c>
      <c r="D2" s="1" t="s">
        <v>8</v>
      </c>
      <c r="E2" s="1" t="s">
        <v>10</v>
      </c>
      <c r="F2" s="1" t="s">
        <v>1</v>
      </c>
      <c r="G2" s="1" t="s">
        <v>7</v>
      </c>
      <c r="H2" s="1" t="s">
        <v>1</v>
      </c>
      <c r="I2" s="1" t="s">
        <v>52</v>
      </c>
      <c r="J2" s="1" t="s">
        <v>59</v>
      </c>
      <c r="K2" s="1" t="s">
        <v>1</v>
      </c>
      <c r="L2" s="1" t="s">
        <v>57</v>
      </c>
      <c r="M2" s="1" t="s">
        <v>58</v>
      </c>
      <c r="N2" s="1" t="s">
        <v>63</v>
      </c>
      <c r="O2" s="1" t="s">
        <v>61</v>
      </c>
      <c r="P2" s="1" t="s">
        <v>62</v>
      </c>
      <c r="Q2" s="1" t="s">
        <v>64</v>
      </c>
      <c r="R2" s="1" t="s">
        <v>1</v>
      </c>
      <c r="S2" s="1" t="s">
        <v>65</v>
      </c>
      <c r="T2" s="1" t="s">
        <v>66</v>
      </c>
      <c r="U2" s="1" t="s">
        <v>1</v>
      </c>
      <c r="V2" s="1" t="s">
        <v>67</v>
      </c>
      <c r="W2" s="1" t="s">
        <v>68</v>
      </c>
      <c r="X2" s="1" t="s">
        <v>1</v>
      </c>
      <c r="Y2" s="1" t="s">
        <v>69</v>
      </c>
      <c r="Z2" s="1" t="s">
        <v>70</v>
      </c>
      <c r="AA2" s="38" t="s">
        <v>54</v>
      </c>
      <c r="AB2" s="38" t="s">
        <v>48</v>
      </c>
      <c r="AC2" s="45"/>
      <c r="AD2" s="45"/>
      <c r="AE2" s="63" t="s">
        <v>3</v>
      </c>
      <c r="AF2" s="63" t="s">
        <v>3</v>
      </c>
      <c r="AG2" s="64" t="s">
        <v>3</v>
      </c>
    </row>
    <row r="3" spans="1:33" ht="12.75" thickTop="1">
      <c r="A3" s="7" t="s">
        <v>41</v>
      </c>
      <c r="B3" s="20">
        <v>284214154348</v>
      </c>
      <c r="C3" s="20">
        <v>373222467000</v>
      </c>
      <c r="D3" s="10">
        <v>875767143</v>
      </c>
      <c r="E3" s="33">
        <f>B3-D3</f>
        <v>283338387205</v>
      </c>
      <c r="F3" s="41">
        <f>E3*2%</f>
        <v>5666767744.1</v>
      </c>
      <c r="G3" s="47">
        <f>17000303232+1894718702</f>
        <v>18895021934</v>
      </c>
      <c r="H3" s="10">
        <f>G3*2%</f>
        <v>377900438.68</v>
      </c>
      <c r="I3" s="10">
        <f>G3-H3</f>
        <v>18517121495.32</v>
      </c>
      <c r="J3" s="10">
        <v>35247295368</v>
      </c>
      <c r="K3" s="41">
        <f>J3*2%</f>
        <v>704945907.36</v>
      </c>
      <c r="L3" s="10">
        <f>J3-K3</f>
        <v>34542349460.64</v>
      </c>
      <c r="M3" s="41">
        <f>G3+J3</f>
        <v>54142317302</v>
      </c>
      <c r="N3" s="41">
        <v>21414585953</v>
      </c>
      <c r="O3" s="41">
        <f>N3*2%</f>
        <v>428291719.06</v>
      </c>
      <c r="P3" s="41">
        <f>N3-O3</f>
        <v>20986294233.94</v>
      </c>
      <c r="Q3" s="41">
        <v>0</v>
      </c>
      <c r="R3" s="41"/>
      <c r="S3" s="41"/>
      <c r="T3" s="41">
        <v>19000000000</v>
      </c>
      <c r="U3" s="41">
        <f>T3*2%</f>
        <v>380000000</v>
      </c>
      <c r="V3" s="41">
        <f>T3-U3</f>
        <v>18620000000</v>
      </c>
      <c r="W3" s="41">
        <f>14000000000+21000000000</f>
        <v>35000000000</v>
      </c>
      <c r="X3" s="41">
        <f>W3*2%</f>
        <v>700000000</v>
      </c>
      <c r="Y3" s="41">
        <f>W3-X3</f>
        <v>34300000000</v>
      </c>
      <c r="Z3" s="41">
        <f>G3+J3+N3+Q3+T3+W3</f>
        <v>129556903255</v>
      </c>
      <c r="AA3" s="11">
        <f>E3-Z3</f>
        <v>153781483950</v>
      </c>
      <c r="AB3" s="9">
        <f>Z3/E3</f>
        <v>0.4572515024632488</v>
      </c>
      <c r="AC3" s="48"/>
      <c r="AD3" s="66"/>
      <c r="AE3" s="67"/>
      <c r="AF3" s="67"/>
      <c r="AG3" s="67"/>
    </row>
    <row r="4" spans="1:33" ht="12">
      <c r="A4" s="8" t="s">
        <v>41</v>
      </c>
      <c r="B4" s="21">
        <v>115450836511</v>
      </c>
      <c r="C4" s="21"/>
      <c r="D4" s="11"/>
      <c r="E4" s="34">
        <f>B4-D4</f>
        <v>115450836511</v>
      </c>
      <c r="F4" s="11">
        <f aca="true" t="shared" si="0" ref="F4:F19">E4*2%</f>
        <v>2309016730.2200003</v>
      </c>
      <c r="G4" s="49">
        <f>6927050191+772047452</f>
        <v>7699097643</v>
      </c>
      <c r="H4" s="11">
        <f aca="true" t="shared" si="1" ref="H4:H19">G4*2%</f>
        <v>153981952.86</v>
      </c>
      <c r="I4" s="11">
        <f aca="true" t="shared" si="2" ref="I4:I20">G4-H4</f>
        <v>7545115690.14</v>
      </c>
      <c r="J4" s="11">
        <v>14362084062</v>
      </c>
      <c r="K4" s="11">
        <f aca="true" t="shared" si="3" ref="K4:K19">J4*2%</f>
        <v>287241681.24</v>
      </c>
      <c r="L4" s="11">
        <f>J4-K4</f>
        <v>14074842380.76</v>
      </c>
      <c r="M4" s="41">
        <f>G4+J4</f>
        <v>22061181705</v>
      </c>
      <c r="N4" s="41">
        <v>8725708031</v>
      </c>
      <c r="O4" s="41">
        <f aca="true" t="shared" si="4" ref="O4:O19">N4*2%</f>
        <v>174514160.62</v>
      </c>
      <c r="P4" s="41">
        <f aca="true" t="shared" si="5" ref="P4:P19">N4-O4</f>
        <v>8551193870.38</v>
      </c>
      <c r="Q4" s="41">
        <v>10325400000</v>
      </c>
      <c r="R4" s="41">
        <f>Q4*2%</f>
        <v>206508000</v>
      </c>
      <c r="S4" s="41">
        <f>Q4-R4</f>
        <v>10118892000</v>
      </c>
      <c r="T4" s="41">
        <v>7696722434</v>
      </c>
      <c r="U4" s="41">
        <f>T4*2%</f>
        <v>153934448.68</v>
      </c>
      <c r="V4" s="41">
        <f>T4-U4</f>
        <v>7542787985.32</v>
      </c>
      <c r="W4" s="41">
        <v>13000000000</v>
      </c>
      <c r="X4" s="41">
        <f aca="true" t="shared" si="6" ref="X4:X19">W4*2%</f>
        <v>260000000</v>
      </c>
      <c r="Y4" s="41">
        <f aca="true" t="shared" si="7" ref="Y4:Y19">W4-X4</f>
        <v>12740000000</v>
      </c>
      <c r="Z4" s="41">
        <f aca="true" t="shared" si="8" ref="Z4:Z19">G4+J4+N4+Q4+T4+W4</f>
        <v>61809012170</v>
      </c>
      <c r="AA4" s="11">
        <f aca="true" t="shared" si="9" ref="AA4:AA19">E4-Z4</f>
        <v>53641824341</v>
      </c>
      <c r="AB4" s="9">
        <f>Z4/E4</f>
        <v>0.5353708473486107</v>
      </c>
      <c r="AC4" s="48"/>
      <c r="AD4" s="66"/>
      <c r="AE4" s="67"/>
      <c r="AF4" s="67"/>
      <c r="AG4" s="67"/>
    </row>
    <row r="5" spans="1:33" ht="12">
      <c r="A5" s="8" t="s">
        <v>13</v>
      </c>
      <c r="B5" s="21">
        <v>54504468469</v>
      </c>
      <c r="C5" s="11">
        <v>50414265000</v>
      </c>
      <c r="D5" s="11">
        <v>115131737</v>
      </c>
      <c r="E5" s="34">
        <f>B5-D5</f>
        <v>54389336732</v>
      </c>
      <c r="F5" s="11">
        <f t="shared" si="0"/>
        <v>1087786734.64</v>
      </c>
      <c r="G5" s="49">
        <f>3263360204+363714548</f>
        <v>3627074752</v>
      </c>
      <c r="H5" s="11">
        <f t="shared" si="1"/>
        <v>72541495.04</v>
      </c>
      <c r="I5" s="11">
        <f t="shared" si="2"/>
        <v>3554533256.96</v>
      </c>
      <c r="J5" s="11">
        <v>6766033489</v>
      </c>
      <c r="K5" s="11">
        <f t="shared" si="3"/>
        <v>135320669.78</v>
      </c>
      <c r="L5" s="11">
        <f aca="true" t="shared" si="10" ref="L5:L19">J5-K5</f>
        <v>6630712819.22</v>
      </c>
      <c r="M5" s="41">
        <f aca="true" t="shared" si="11" ref="M5:M19">G5+J5</f>
        <v>10393108241</v>
      </c>
      <c r="N5" s="41">
        <v>4110714888</v>
      </c>
      <c r="O5" s="41">
        <f t="shared" si="4"/>
        <v>82214297.76</v>
      </c>
      <c r="P5" s="41">
        <f t="shared" si="5"/>
        <v>4028500590.24</v>
      </c>
      <c r="Q5" s="41">
        <v>3625955782</v>
      </c>
      <c r="R5" s="41">
        <f>Q5*2%</f>
        <v>72519115.64</v>
      </c>
      <c r="S5" s="41">
        <f>Q5-R5</f>
        <v>3553436666.36</v>
      </c>
      <c r="T5" s="41">
        <v>3625955782</v>
      </c>
      <c r="U5" s="41">
        <f>T5*2%</f>
        <v>72519115.64</v>
      </c>
      <c r="V5" s="41">
        <f>T5-U5</f>
        <v>3553436666.36</v>
      </c>
      <c r="W5" s="41">
        <v>5438933673</v>
      </c>
      <c r="X5" s="41">
        <f t="shared" si="6"/>
        <v>108778673.46000001</v>
      </c>
      <c r="Y5" s="41">
        <f t="shared" si="7"/>
        <v>5330154999.54</v>
      </c>
      <c r="Z5" s="41">
        <f t="shared" si="8"/>
        <v>27194668366</v>
      </c>
      <c r="AA5" s="11">
        <f t="shared" si="9"/>
        <v>27194668366</v>
      </c>
      <c r="AB5" s="9">
        <f>Z5/E5</f>
        <v>0.5</v>
      </c>
      <c r="AC5" s="48"/>
      <c r="AD5" s="66"/>
      <c r="AE5" s="67"/>
      <c r="AF5" s="67"/>
      <c r="AG5" s="67"/>
    </row>
    <row r="6" spans="1:33" ht="12">
      <c r="A6" s="8" t="s">
        <v>14</v>
      </c>
      <c r="B6" s="11">
        <v>30990072189</v>
      </c>
      <c r="C6" s="11">
        <v>29775634000</v>
      </c>
      <c r="D6" s="11">
        <v>65871071</v>
      </c>
      <c r="E6" s="34">
        <f aca="true" t="shared" si="12" ref="E6:E19">B6-D6</f>
        <v>30924201118</v>
      </c>
      <c r="F6" s="11">
        <f t="shared" si="0"/>
        <v>618484022.36</v>
      </c>
      <c r="G6" s="49">
        <f>1855452067+206797555</f>
        <v>2062249622</v>
      </c>
      <c r="H6" s="11">
        <f t="shared" si="1"/>
        <v>41244992.44</v>
      </c>
      <c r="I6" s="11">
        <f t="shared" si="2"/>
        <v>2021004629.56</v>
      </c>
      <c r="J6" s="11">
        <v>3846970619</v>
      </c>
      <c r="K6" s="11">
        <f t="shared" si="3"/>
        <v>76939412.38</v>
      </c>
      <c r="L6" s="11">
        <f t="shared" si="10"/>
        <v>3770031206.62</v>
      </c>
      <c r="M6" s="41">
        <f t="shared" si="11"/>
        <v>5909220241</v>
      </c>
      <c r="N6" s="41">
        <v>2337233390</v>
      </c>
      <c r="O6" s="41">
        <f t="shared" si="4"/>
        <v>46744667.800000004</v>
      </c>
      <c r="P6" s="41">
        <f t="shared" si="5"/>
        <v>2290488722.2</v>
      </c>
      <c r="Q6" s="41">
        <v>2061613408</v>
      </c>
      <c r="R6" s="41">
        <f aca="true" t="shared" si="13" ref="R6:R19">Q6*2%</f>
        <v>41232268.160000004</v>
      </c>
      <c r="S6" s="41">
        <f aca="true" t="shared" si="14" ref="S6:S19">Q6-R6</f>
        <v>2020381139.84</v>
      </c>
      <c r="T6" s="41">
        <v>2061613408</v>
      </c>
      <c r="U6" s="41">
        <f aca="true" t="shared" si="15" ref="U6:U19">T6*2%</f>
        <v>41232268.160000004</v>
      </c>
      <c r="V6" s="41">
        <f aca="true" t="shared" si="16" ref="V6:V19">T6-U6</f>
        <v>2020381139.84</v>
      </c>
      <c r="W6" s="41">
        <v>3092420112</v>
      </c>
      <c r="X6" s="41">
        <f t="shared" si="6"/>
        <v>61848402.24</v>
      </c>
      <c r="Y6" s="41">
        <f t="shared" si="7"/>
        <v>3030571709.76</v>
      </c>
      <c r="Z6" s="41">
        <f t="shared" si="8"/>
        <v>15462100559</v>
      </c>
      <c r="AA6" s="11">
        <f>E6-Z6</f>
        <v>15462100559</v>
      </c>
      <c r="AB6" s="9">
        <f aca="true" t="shared" si="17" ref="AB6:AB19">Z6/E6</f>
        <v>0.5</v>
      </c>
      <c r="AC6" s="50"/>
      <c r="AD6" s="66"/>
      <c r="AE6" s="67"/>
      <c r="AF6" s="67"/>
      <c r="AG6" s="67"/>
    </row>
    <row r="7" spans="1:33" ht="12">
      <c r="A7" s="8" t="s">
        <v>15</v>
      </c>
      <c r="B7" s="11">
        <v>46355556169</v>
      </c>
      <c r="C7" s="11">
        <v>44460351000</v>
      </c>
      <c r="D7" s="11">
        <v>98472877</v>
      </c>
      <c r="E7" s="34">
        <f t="shared" si="12"/>
        <v>46257083292</v>
      </c>
      <c r="F7" s="11">
        <f t="shared" si="0"/>
        <v>925141665.84</v>
      </c>
      <c r="G7" s="49">
        <f>2775424998+309332218</f>
        <v>3084757216</v>
      </c>
      <c r="H7" s="11">
        <f t="shared" si="1"/>
        <v>61695144.32</v>
      </c>
      <c r="I7" s="11">
        <f t="shared" si="2"/>
        <v>3023062071.68</v>
      </c>
      <c r="J7" s="11">
        <v>5754381162</v>
      </c>
      <c r="K7" s="11">
        <f t="shared" si="3"/>
        <v>115087623.24000001</v>
      </c>
      <c r="L7" s="11">
        <f t="shared" si="10"/>
        <v>5639293538.76</v>
      </c>
      <c r="M7" s="41">
        <f t="shared" si="11"/>
        <v>8839138378</v>
      </c>
      <c r="N7" s="41">
        <v>3496083833</v>
      </c>
      <c r="O7" s="41">
        <f t="shared" si="4"/>
        <v>69921676.66</v>
      </c>
      <c r="P7" s="41">
        <f t="shared" si="5"/>
        <v>3426162156.34</v>
      </c>
      <c r="Q7" s="41">
        <v>3083805553</v>
      </c>
      <c r="R7" s="41">
        <f t="shared" si="13"/>
        <v>61676111.06</v>
      </c>
      <c r="S7" s="41">
        <f t="shared" si="14"/>
        <v>3022129441.94</v>
      </c>
      <c r="T7" s="41">
        <v>3083805553</v>
      </c>
      <c r="U7" s="41">
        <f t="shared" si="15"/>
        <v>61676111.06</v>
      </c>
      <c r="V7" s="41">
        <f t="shared" si="16"/>
        <v>3022129441.94</v>
      </c>
      <c r="W7" s="41">
        <v>4625708330</v>
      </c>
      <c r="X7" s="41">
        <f t="shared" si="6"/>
        <v>92514166.60000001</v>
      </c>
      <c r="Y7" s="41">
        <f t="shared" si="7"/>
        <v>4533194163.4</v>
      </c>
      <c r="Z7" s="41">
        <f t="shared" si="8"/>
        <v>23128541647</v>
      </c>
      <c r="AA7" s="11">
        <f t="shared" si="9"/>
        <v>23128541645</v>
      </c>
      <c r="AB7" s="9">
        <f t="shared" si="17"/>
        <v>0.5000000000216183</v>
      </c>
      <c r="AC7" s="50"/>
      <c r="AD7" s="66"/>
      <c r="AE7" s="67"/>
      <c r="AF7" s="67"/>
      <c r="AG7" s="67"/>
    </row>
    <row r="8" spans="1:33" ht="12">
      <c r="A8" s="8" t="s">
        <v>16</v>
      </c>
      <c r="B8" s="11">
        <v>57680366883</v>
      </c>
      <c r="C8" s="11">
        <v>55423726000</v>
      </c>
      <c r="D8" s="11">
        <v>123085313</v>
      </c>
      <c r="E8" s="34">
        <f t="shared" si="12"/>
        <v>57557281570</v>
      </c>
      <c r="F8" s="11">
        <f t="shared" si="0"/>
        <v>1151145631.4</v>
      </c>
      <c r="G8" s="49">
        <f>3453436894+384899356</f>
        <v>3838336250</v>
      </c>
      <c r="H8" s="11">
        <f t="shared" si="1"/>
        <v>76766725</v>
      </c>
      <c r="I8" s="11">
        <f t="shared" si="2"/>
        <v>3761569525</v>
      </c>
      <c r="J8" s="11">
        <v>7160125827</v>
      </c>
      <c r="K8" s="11">
        <f t="shared" si="3"/>
        <v>143202516.54</v>
      </c>
      <c r="L8" s="11">
        <f t="shared" si="10"/>
        <v>7016923310.46</v>
      </c>
      <c r="M8" s="41">
        <f t="shared" si="11"/>
        <v>10998462077</v>
      </c>
      <c r="N8" s="41">
        <v>4350146342</v>
      </c>
      <c r="O8" s="41">
        <f t="shared" si="4"/>
        <v>87002926.84</v>
      </c>
      <c r="P8" s="41">
        <f t="shared" si="5"/>
        <v>4263143415.16</v>
      </c>
      <c r="Q8" s="41">
        <v>3837152105</v>
      </c>
      <c r="R8" s="41">
        <f t="shared" si="13"/>
        <v>76743042.10000001</v>
      </c>
      <c r="S8" s="41">
        <f t="shared" si="14"/>
        <v>3760409062.9</v>
      </c>
      <c r="T8" s="41">
        <v>3837152105</v>
      </c>
      <c r="U8" s="41">
        <f t="shared" si="15"/>
        <v>76743042.10000001</v>
      </c>
      <c r="V8" s="41">
        <f t="shared" si="16"/>
        <v>3760409062.9</v>
      </c>
      <c r="W8" s="41">
        <v>5755728158</v>
      </c>
      <c r="X8" s="41">
        <f t="shared" si="6"/>
        <v>115114563.16</v>
      </c>
      <c r="Y8" s="41">
        <f t="shared" si="7"/>
        <v>5640613594.84</v>
      </c>
      <c r="Z8" s="41">
        <f t="shared" si="8"/>
        <v>28778640787</v>
      </c>
      <c r="AA8" s="11">
        <f t="shared" si="9"/>
        <v>28778640783</v>
      </c>
      <c r="AB8" s="9">
        <f t="shared" si="17"/>
        <v>0.500000000034748</v>
      </c>
      <c r="AC8" s="50"/>
      <c r="AD8" s="66"/>
      <c r="AE8" s="67"/>
      <c r="AF8" s="67"/>
      <c r="AG8" s="67"/>
    </row>
    <row r="9" spans="1:33" ht="12">
      <c r="A9" s="8" t="s">
        <v>17</v>
      </c>
      <c r="B9" s="11">
        <v>53937803578</v>
      </c>
      <c r="C9" s="11">
        <v>51003826000</v>
      </c>
      <c r="D9" s="11">
        <v>110900531</v>
      </c>
      <c r="E9" s="34">
        <f t="shared" si="12"/>
        <v>53826903047</v>
      </c>
      <c r="F9" s="11">
        <f t="shared" si="0"/>
        <v>1076538060.94</v>
      </c>
      <c r="G9" s="49">
        <f>3229614183+359953419</f>
        <v>3589567602</v>
      </c>
      <c r="H9" s="11">
        <f t="shared" si="1"/>
        <v>71791352.04</v>
      </c>
      <c r="I9" s="11">
        <f t="shared" si="2"/>
        <v>3517776249.96</v>
      </c>
      <c r="J9" s="11">
        <v>6696066739</v>
      </c>
      <c r="K9" s="11">
        <f t="shared" si="3"/>
        <v>133921334.78</v>
      </c>
      <c r="L9" s="11">
        <f t="shared" si="10"/>
        <v>6562145404.22</v>
      </c>
      <c r="M9" s="41">
        <f t="shared" si="11"/>
        <v>10285634341</v>
      </c>
      <c r="N9" s="41">
        <v>4068206472</v>
      </c>
      <c r="O9" s="41">
        <f t="shared" si="4"/>
        <v>81364129.44</v>
      </c>
      <c r="P9" s="41">
        <f t="shared" si="5"/>
        <v>3986842342.56</v>
      </c>
      <c r="Q9" s="41">
        <v>3588460203</v>
      </c>
      <c r="R9" s="41">
        <f t="shared" si="13"/>
        <v>71769204.06</v>
      </c>
      <c r="S9" s="41">
        <f t="shared" si="14"/>
        <v>3516690998.94</v>
      </c>
      <c r="T9" s="41">
        <v>3588460203</v>
      </c>
      <c r="U9" s="41">
        <f t="shared" si="15"/>
        <v>71769204.06</v>
      </c>
      <c r="V9" s="41">
        <f t="shared" si="16"/>
        <v>3516690998.94</v>
      </c>
      <c r="W9" s="41">
        <v>5382690305</v>
      </c>
      <c r="X9" s="41">
        <f t="shared" si="6"/>
        <v>107653806.10000001</v>
      </c>
      <c r="Y9" s="41">
        <f t="shared" si="7"/>
        <v>5275036498.9</v>
      </c>
      <c r="Z9" s="41">
        <f t="shared" si="8"/>
        <v>26913451524</v>
      </c>
      <c r="AA9" s="11">
        <f t="shared" si="9"/>
        <v>26913451523</v>
      </c>
      <c r="AB9" s="9">
        <f t="shared" si="17"/>
        <v>0.500000000009289</v>
      </c>
      <c r="AC9" s="50"/>
      <c r="AD9" s="66"/>
      <c r="AE9" s="67"/>
      <c r="AF9" s="67"/>
      <c r="AG9" s="67"/>
    </row>
    <row r="10" spans="1:33" ht="12">
      <c r="A10" s="8" t="s">
        <v>18</v>
      </c>
      <c r="B10" s="11">
        <v>20345093907</v>
      </c>
      <c r="C10" s="11">
        <v>19266613000</v>
      </c>
      <c r="D10" s="11">
        <v>42131323</v>
      </c>
      <c r="E10" s="34">
        <f t="shared" si="12"/>
        <v>20302962584</v>
      </c>
      <c r="F10" s="11">
        <f t="shared" si="0"/>
        <v>406059251.68</v>
      </c>
      <c r="G10" s="49">
        <f>1218177755+135770784</f>
        <v>1353948539</v>
      </c>
      <c r="H10" s="11">
        <f t="shared" si="1"/>
        <v>27078970.78</v>
      </c>
      <c r="I10" s="11">
        <f t="shared" si="2"/>
        <v>1326869568.22</v>
      </c>
      <c r="J10" s="11">
        <v>2525688545</v>
      </c>
      <c r="K10" s="11">
        <f t="shared" si="3"/>
        <v>50513770.9</v>
      </c>
      <c r="L10" s="11">
        <f t="shared" si="10"/>
        <v>2475174774.1</v>
      </c>
      <c r="M10" s="41">
        <f t="shared" si="11"/>
        <v>3879637084</v>
      </c>
      <c r="N10" s="41">
        <v>1534486272</v>
      </c>
      <c r="O10" s="41">
        <f t="shared" si="4"/>
        <v>30689725.44</v>
      </c>
      <c r="P10" s="41">
        <f t="shared" si="5"/>
        <v>1503796546.56</v>
      </c>
      <c r="Q10" s="41">
        <v>1353530839</v>
      </c>
      <c r="R10" s="41">
        <f t="shared" si="13"/>
        <v>27070616.78</v>
      </c>
      <c r="S10" s="41">
        <f t="shared" si="14"/>
        <v>1326460222.22</v>
      </c>
      <c r="T10" s="41">
        <v>1353530839</v>
      </c>
      <c r="U10" s="41">
        <f t="shared" si="15"/>
        <v>27070616.78</v>
      </c>
      <c r="V10" s="41">
        <f t="shared" si="16"/>
        <v>1326460222.22</v>
      </c>
      <c r="W10" s="41">
        <v>2030296259</v>
      </c>
      <c r="X10" s="41">
        <f t="shared" si="6"/>
        <v>40605925.18</v>
      </c>
      <c r="Y10" s="41">
        <f t="shared" si="7"/>
        <v>1989690333.82</v>
      </c>
      <c r="Z10" s="41">
        <f t="shared" si="8"/>
        <v>10151481293</v>
      </c>
      <c r="AA10" s="11">
        <f t="shared" si="9"/>
        <v>10151481291</v>
      </c>
      <c r="AB10" s="9">
        <f t="shared" si="17"/>
        <v>0.5000000000492539</v>
      </c>
      <c r="AC10" s="50"/>
      <c r="AD10" s="66"/>
      <c r="AE10" s="67"/>
      <c r="AF10" s="67"/>
      <c r="AG10" s="67"/>
    </row>
    <row r="11" spans="1:33" ht="12">
      <c r="A11" s="8" t="s">
        <v>19</v>
      </c>
      <c r="B11" s="11">
        <v>14230442842</v>
      </c>
      <c r="C11" s="11">
        <v>13674402000</v>
      </c>
      <c r="D11" s="11">
        <v>30539044</v>
      </c>
      <c r="E11" s="34">
        <f t="shared" si="12"/>
        <v>14199903798</v>
      </c>
      <c r="F11" s="11">
        <f t="shared" si="0"/>
        <v>283998075.96</v>
      </c>
      <c r="G11" s="49">
        <f>851994228+94958165</f>
        <v>946952393</v>
      </c>
      <c r="H11" s="11">
        <f t="shared" si="1"/>
        <v>18939047.86</v>
      </c>
      <c r="I11" s="11">
        <f t="shared" si="2"/>
        <v>928013345.14</v>
      </c>
      <c r="J11" s="11">
        <v>1766468032</v>
      </c>
      <c r="K11" s="11">
        <f t="shared" si="3"/>
        <v>35329360.64</v>
      </c>
      <c r="L11" s="11">
        <f t="shared" si="10"/>
        <v>1731138671.36</v>
      </c>
      <c r="M11" s="41">
        <f t="shared" si="11"/>
        <v>2713420425</v>
      </c>
      <c r="N11" s="41">
        <v>1073220588</v>
      </c>
      <c r="O11" s="41">
        <f t="shared" si="4"/>
        <v>21464411.76</v>
      </c>
      <c r="P11" s="41">
        <f t="shared" si="5"/>
        <v>1051756176.24</v>
      </c>
      <c r="Q11" s="41">
        <v>946660253</v>
      </c>
      <c r="R11" s="41">
        <f t="shared" si="13"/>
        <v>18933205.06</v>
      </c>
      <c r="S11" s="41">
        <f t="shared" si="14"/>
        <v>927727047.94</v>
      </c>
      <c r="T11" s="41">
        <v>946660253</v>
      </c>
      <c r="U11" s="41">
        <f t="shared" si="15"/>
        <v>18933205.06</v>
      </c>
      <c r="V11" s="41">
        <f t="shared" si="16"/>
        <v>927727047.94</v>
      </c>
      <c r="W11" s="41">
        <v>1419990380</v>
      </c>
      <c r="X11" s="41">
        <f t="shared" si="6"/>
        <v>28399807.6</v>
      </c>
      <c r="Y11" s="41">
        <f t="shared" si="7"/>
        <v>1391590572.4</v>
      </c>
      <c r="Z11" s="41">
        <f t="shared" si="8"/>
        <v>7099951899</v>
      </c>
      <c r="AA11" s="11">
        <f t="shared" si="9"/>
        <v>7099951899</v>
      </c>
      <c r="AB11" s="9">
        <f t="shared" si="17"/>
        <v>0.5</v>
      </c>
      <c r="AC11" s="50"/>
      <c r="AD11" s="66"/>
      <c r="AE11" s="67"/>
      <c r="AF11" s="67"/>
      <c r="AG11" s="67"/>
    </row>
    <row r="12" spans="1:33" ht="12">
      <c r="A12" s="8" t="s">
        <v>20</v>
      </c>
      <c r="B12" s="11">
        <v>45283255858</v>
      </c>
      <c r="C12" s="11">
        <v>42262751000</v>
      </c>
      <c r="D12" s="11">
        <v>93675267</v>
      </c>
      <c r="E12" s="34">
        <f t="shared" si="12"/>
        <v>45189580591</v>
      </c>
      <c r="F12" s="11">
        <f t="shared" si="0"/>
        <v>903791611.82</v>
      </c>
      <c r="G12" s="49">
        <f>2711374835+302193571</f>
        <v>3013568406</v>
      </c>
      <c r="H12" s="11">
        <f t="shared" si="1"/>
        <v>60271368.120000005</v>
      </c>
      <c r="I12" s="11">
        <f t="shared" si="2"/>
        <v>2953297037.88</v>
      </c>
      <c r="J12" s="11">
        <v>5621583826</v>
      </c>
      <c r="K12" s="11">
        <f t="shared" si="3"/>
        <v>112431676.52</v>
      </c>
      <c r="L12" s="11">
        <f t="shared" si="10"/>
        <v>5509152149.48</v>
      </c>
      <c r="M12" s="41">
        <f t="shared" si="11"/>
        <v>8635152232</v>
      </c>
      <c r="N12" s="41">
        <v>3415402592</v>
      </c>
      <c r="O12" s="41">
        <f t="shared" si="4"/>
        <v>68308051.84</v>
      </c>
      <c r="P12" s="41">
        <f t="shared" si="5"/>
        <v>3347094540.16</v>
      </c>
      <c r="Q12" s="41">
        <v>3012638706</v>
      </c>
      <c r="R12" s="41">
        <f t="shared" si="13"/>
        <v>60252774.120000005</v>
      </c>
      <c r="S12" s="41">
        <f t="shared" si="14"/>
        <v>2952385931.88</v>
      </c>
      <c r="T12" s="41">
        <v>3012638706</v>
      </c>
      <c r="U12" s="41">
        <f t="shared" si="15"/>
        <v>60252774.120000005</v>
      </c>
      <c r="V12" s="41">
        <f t="shared" si="16"/>
        <v>2952385931.88</v>
      </c>
      <c r="W12" s="41">
        <v>4518958059</v>
      </c>
      <c r="X12" s="41">
        <f t="shared" si="6"/>
        <v>90379161.18</v>
      </c>
      <c r="Y12" s="41">
        <f t="shared" si="7"/>
        <v>4428578897.82</v>
      </c>
      <c r="Z12" s="41">
        <f t="shared" si="8"/>
        <v>22594790295</v>
      </c>
      <c r="AA12" s="11">
        <f t="shared" si="9"/>
        <v>22594790296</v>
      </c>
      <c r="AB12" s="9">
        <f t="shared" si="17"/>
        <v>0.4999999999889355</v>
      </c>
      <c r="AC12" s="50"/>
      <c r="AD12" s="66"/>
      <c r="AE12" s="67"/>
      <c r="AF12" s="67"/>
      <c r="AG12" s="67"/>
    </row>
    <row r="13" spans="1:33" ht="12">
      <c r="A13" s="8" t="s">
        <v>53</v>
      </c>
      <c r="B13" s="11">
        <v>11449462946</v>
      </c>
      <c r="C13" s="11">
        <v>10995455000</v>
      </c>
      <c r="D13" s="11">
        <v>24425160</v>
      </c>
      <c r="E13" s="34">
        <f t="shared" si="12"/>
        <v>11425037786</v>
      </c>
      <c r="F13" s="11">
        <f t="shared" si="0"/>
        <v>228500755.72</v>
      </c>
      <c r="G13" s="49">
        <f>685502267+76401970</f>
        <v>761904237</v>
      </c>
      <c r="H13" s="11">
        <f t="shared" si="1"/>
        <v>15238084.74</v>
      </c>
      <c r="I13" s="11">
        <f t="shared" si="2"/>
        <v>746666152.26</v>
      </c>
      <c r="J13" s="11">
        <v>1421274701</v>
      </c>
      <c r="K13" s="11">
        <f t="shared" si="3"/>
        <v>28425494.02</v>
      </c>
      <c r="L13" s="11">
        <f t="shared" si="10"/>
        <v>1392849206.98</v>
      </c>
      <c r="M13" s="41">
        <f t="shared" si="11"/>
        <v>2183178938</v>
      </c>
      <c r="N13" s="41">
        <v>863497805</v>
      </c>
      <c r="O13" s="41">
        <f t="shared" si="4"/>
        <v>17269956.1</v>
      </c>
      <c r="P13" s="41">
        <f t="shared" si="5"/>
        <v>846227848.9</v>
      </c>
      <c r="Q13" s="41">
        <v>761669186</v>
      </c>
      <c r="R13" s="41">
        <f t="shared" si="13"/>
        <v>15233383.72</v>
      </c>
      <c r="S13" s="41">
        <f t="shared" si="14"/>
        <v>746435802.28</v>
      </c>
      <c r="T13" s="41">
        <v>761669186</v>
      </c>
      <c r="U13" s="41">
        <f t="shared" si="15"/>
        <v>15233383.72</v>
      </c>
      <c r="V13" s="41">
        <f t="shared" si="16"/>
        <v>746435802.28</v>
      </c>
      <c r="W13" s="41">
        <v>1142503779</v>
      </c>
      <c r="X13" s="41">
        <f t="shared" si="6"/>
        <v>22850075.580000002</v>
      </c>
      <c r="Y13" s="41">
        <f t="shared" si="7"/>
        <v>1119653703.42</v>
      </c>
      <c r="Z13" s="41">
        <f t="shared" si="8"/>
        <v>5712518894</v>
      </c>
      <c r="AA13" s="11">
        <f t="shared" si="9"/>
        <v>5712518892</v>
      </c>
      <c r="AB13" s="9">
        <f t="shared" si="17"/>
        <v>0.5000000000875271</v>
      </c>
      <c r="AC13" s="50"/>
      <c r="AD13" s="66"/>
      <c r="AE13" s="67"/>
      <c r="AF13" s="67"/>
      <c r="AG13" s="67"/>
    </row>
    <row r="14" spans="1:33" ht="12">
      <c r="A14" s="8" t="s">
        <v>21</v>
      </c>
      <c r="B14" s="11">
        <v>24515286279</v>
      </c>
      <c r="C14" s="11">
        <v>23749733000</v>
      </c>
      <c r="D14" s="11">
        <v>52650099</v>
      </c>
      <c r="E14" s="34">
        <f t="shared" si="12"/>
        <v>24462636180</v>
      </c>
      <c r="F14" s="11">
        <f t="shared" si="0"/>
        <v>489252723.6</v>
      </c>
      <c r="G14" s="49">
        <f>1467758171+163587519</f>
        <v>1631345690</v>
      </c>
      <c r="H14" s="11">
        <f t="shared" si="1"/>
        <v>32626913.8</v>
      </c>
      <c r="I14" s="11">
        <f t="shared" si="2"/>
        <v>1598718776.2</v>
      </c>
      <c r="J14" s="11">
        <v>3043151941</v>
      </c>
      <c r="K14" s="11">
        <f t="shared" si="3"/>
        <v>60863038.82</v>
      </c>
      <c r="L14" s="11">
        <f t="shared" si="10"/>
        <v>2982288902.18</v>
      </c>
      <c r="M14" s="41">
        <f t="shared" si="11"/>
        <v>4674497631</v>
      </c>
      <c r="N14" s="41">
        <v>1848872017</v>
      </c>
      <c r="O14" s="41">
        <f t="shared" si="4"/>
        <v>36977440.34</v>
      </c>
      <c r="P14" s="41">
        <f t="shared" si="5"/>
        <v>1811894576.66</v>
      </c>
      <c r="Q14" s="41">
        <v>1630842412</v>
      </c>
      <c r="R14" s="41">
        <f t="shared" si="13"/>
        <v>32616848.240000002</v>
      </c>
      <c r="S14" s="41">
        <f t="shared" si="14"/>
        <v>1598225563.76</v>
      </c>
      <c r="T14" s="41">
        <v>1630842412</v>
      </c>
      <c r="U14" s="41">
        <f t="shared" si="15"/>
        <v>32616848.240000002</v>
      </c>
      <c r="V14" s="41">
        <f t="shared" si="16"/>
        <v>1598225563.76</v>
      </c>
      <c r="W14" s="41">
        <v>2446263618</v>
      </c>
      <c r="X14" s="41">
        <f t="shared" si="6"/>
        <v>48925272.36</v>
      </c>
      <c r="Y14" s="41">
        <f t="shared" si="7"/>
        <v>2397338345.64</v>
      </c>
      <c r="Z14" s="41">
        <f t="shared" si="8"/>
        <v>12231318090</v>
      </c>
      <c r="AA14" s="11">
        <f t="shared" si="9"/>
        <v>12231318090</v>
      </c>
      <c r="AB14" s="9">
        <f t="shared" si="17"/>
        <v>0.5</v>
      </c>
      <c r="AC14" s="50"/>
      <c r="AD14" s="66"/>
      <c r="AE14" s="67"/>
      <c r="AF14" s="67"/>
      <c r="AG14" s="67"/>
    </row>
    <row r="15" spans="1:33" ht="12">
      <c r="A15" s="8" t="s">
        <v>22</v>
      </c>
      <c r="B15" s="11">
        <v>10571903871</v>
      </c>
      <c r="C15" s="11">
        <v>10157909000</v>
      </c>
      <c r="D15" s="11">
        <v>22390291</v>
      </c>
      <c r="E15" s="34">
        <f t="shared" si="12"/>
        <v>10549513580</v>
      </c>
      <c r="F15" s="11">
        <f t="shared" si="0"/>
        <v>210990271.6</v>
      </c>
      <c r="G15" s="49">
        <f>632970815+70547129</f>
        <v>703517944</v>
      </c>
      <c r="H15" s="11">
        <f t="shared" si="1"/>
        <v>14070358.88</v>
      </c>
      <c r="I15" s="11">
        <f t="shared" si="2"/>
        <v>689447585.12</v>
      </c>
      <c r="J15" s="11">
        <v>1312359489</v>
      </c>
      <c r="K15" s="11">
        <f t="shared" si="3"/>
        <v>26247189.78</v>
      </c>
      <c r="L15" s="11">
        <f t="shared" si="10"/>
        <v>1286112299.22</v>
      </c>
      <c r="M15" s="41">
        <f t="shared" si="11"/>
        <v>2015877433</v>
      </c>
      <c r="N15" s="41">
        <v>797326188</v>
      </c>
      <c r="O15" s="41">
        <f t="shared" si="4"/>
        <v>15946523.76</v>
      </c>
      <c r="P15" s="41">
        <f t="shared" si="5"/>
        <v>781379664.24</v>
      </c>
      <c r="Q15" s="41">
        <v>703300905</v>
      </c>
      <c r="R15" s="41">
        <f t="shared" si="13"/>
        <v>14066018.1</v>
      </c>
      <c r="S15" s="41">
        <f t="shared" si="14"/>
        <v>689234886.9</v>
      </c>
      <c r="T15" s="41">
        <v>703300905</v>
      </c>
      <c r="U15" s="41">
        <f t="shared" si="15"/>
        <v>14066018.1</v>
      </c>
      <c r="V15" s="41">
        <f t="shared" si="16"/>
        <v>689234886.9</v>
      </c>
      <c r="W15" s="41">
        <v>1054951358</v>
      </c>
      <c r="X15" s="41">
        <f t="shared" si="6"/>
        <v>21099027.16</v>
      </c>
      <c r="Y15" s="41">
        <f t="shared" si="7"/>
        <v>1033852330.84</v>
      </c>
      <c r="Z15" s="41">
        <f t="shared" si="8"/>
        <v>5274756789</v>
      </c>
      <c r="AA15" s="11">
        <f t="shared" si="9"/>
        <v>5274756791</v>
      </c>
      <c r="AB15" s="9">
        <f t="shared" si="17"/>
        <v>0.4999999999052089</v>
      </c>
      <c r="AC15" s="50"/>
      <c r="AD15" s="66"/>
      <c r="AE15" s="67"/>
      <c r="AF15" s="67"/>
      <c r="AG15" s="67"/>
    </row>
    <row r="16" spans="1:33" ht="12">
      <c r="A16" s="8" t="s">
        <v>23</v>
      </c>
      <c r="B16" s="11">
        <v>7966958090</v>
      </c>
      <c r="C16" s="11">
        <v>7651219000</v>
      </c>
      <c r="D16" s="11">
        <v>17470685</v>
      </c>
      <c r="E16" s="34">
        <f t="shared" si="12"/>
        <v>7949487405</v>
      </c>
      <c r="F16" s="11">
        <f t="shared" si="0"/>
        <v>158989748.1</v>
      </c>
      <c r="G16" s="49">
        <f>476969244+53160130</f>
        <v>530129374</v>
      </c>
      <c r="H16" s="11">
        <f t="shared" si="1"/>
        <v>10602587.48</v>
      </c>
      <c r="I16" s="11">
        <f t="shared" si="2"/>
        <v>519526786.52</v>
      </c>
      <c r="J16" s="11">
        <v>988916233</v>
      </c>
      <c r="K16" s="11">
        <f t="shared" si="3"/>
        <v>19778324.66</v>
      </c>
      <c r="L16" s="11">
        <f t="shared" si="10"/>
        <v>969137908.34</v>
      </c>
      <c r="M16" s="41">
        <f t="shared" si="11"/>
        <v>1519045607</v>
      </c>
      <c r="N16" s="41">
        <v>600817701</v>
      </c>
      <c r="O16" s="41">
        <f t="shared" si="4"/>
        <v>12016354.02</v>
      </c>
      <c r="P16" s="41">
        <f t="shared" si="5"/>
        <v>588801346.98</v>
      </c>
      <c r="Q16" s="41">
        <v>529965827</v>
      </c>
      <c r="R16" s="41">
        <f t="shared" si="13"/>
        <v>10599316.540000001</v>
      </c>
      <c r="S16" s="41">
        <f t="shared" si="14"/>
        <v>519366510.46</v>
      </c>
      <c r="T16" s="41">
        <v>529965827</v>
      </c>
      <c r="U16" s="41">
        <f t="shared" si="15"/>
        <v>10599316.540000001</v>
      </c>
      <c r="V16" s="41">
        <f t="shared" si="16"/>
        <v>519366510.46</v>
      </c>
      <c r="W16" s="41">
        <v>794948741</v>
      </c>
      <c r="X16" s="41">
        <f t="shared" si="6"/>
        <v>15898974.82</v>
      </c>
      <c r="Y16" s="41">
        <f t="shared" si="7"/>
        <v>779049766.18</v>
      </c>
      <c r="Z16" s="41">
        <f t="shared" si="8"/>
        <v>3974743703</v>
      </c>
      <c r="AA16" s="11">
        <f t="shared" si="9"/>
        <v>3974743702</v>
      </c>
      <c r="AB16" s="9">
        <f t="shared" si="17"/>
        <v>0.5000000000628971</v>
      </c>
      <c r="AC16" s="50"/>
      <c r="AD16" s="66"/>
      <c r="AE16" s="67"/>
      <c r="AF16" s="67"/>
      <c r="AG16" s="67"/>
    </row>
    <row r="17" spans="1:33" ht="12">
      <c r="A17" s="8" t="s">
        <v>45</v>
      </c>
      <c r="B17" s="11">
        <v>4028894283</v>
      </c>
      <c r="C17" s="11"/>
      <c r="D17" s="11">
        <v>8209683</v>
      </c>
      <c r="E17" s="34">
        <f t="shared" si="12"/>
        <v>4020684600</v>
      </c>
      <c r="F17" s="11">
        <f t="shared" si="0"/>
        <v>80413692</v>
      </c>
      <c r="G17" s="49">
        <f>241241076+26887283</f>
        <v>268128359</v>
      </c>
      <c r="H17" s="11">
        <f t="shared" si="1"/>
        <v>5362567.18</v>
      </c>
      <c r="I17" s="11">
        <f t="shared" si="2"/>
        <v>262765791.82</v>
      </c>
      <c r="J17" s="11">
        <v>500173164</v>
      </c>
      <c r="K17" s="11">
        <f t="shared" si="3"/>
        <v>10003463.28</v>
      </c>
      <c r="L17" s="11">
        <f t="shared" si="10"/>
        <v>490169700.72</v>
      </c>
      <c r="M17" s="41">
        <f t="shared" si="11"/>
        <v>768301523</v>
      </c>
      <c r="N17" s="41">
        <v>303881037</v>
      </c>
      <c r="O17" s="41">
        <f t="shared" si="4"/>
        <v>6077620.74</v>
      </c>
      <c r="P17" s="41">
        <f t="shared" si="5"/>
        <v>297803416.26</v>
      </c>
      <c r="Q17" s="41">
        <v>268045640</v>
      </c>
      <c r="R17" s="41">
        <f t="shared" si="13"/>
        <v>5360912.8</v>
      </c>
      <c r="S17" s="41">
        <f t="shared" si="14"/>
        <v>262684727.2</v>
      </c>
      <c r="T17" s="41">
        <v>268045640</v>
      </c>
      <c r="U17" s="41">
        <f t="shared" si="15"/>
        <v>5360912.8</v>
      </c>
      <c r="V17" s="41">
        <f t="shared" si="16"/>
        <v>262684727.2</v>
      </c>
      <c r="W17" s="41">
        <v>402068460</v>
      </c>
      <c r="X17" s="41">
        <f t="shared" si="6"/>
        <v>8041369.2</v>
      </c>
      <c r="Y17" s="41">
        <f t="shared" si="7"/>
        <v>394027090.8</v>
      </c>
      <c r="Z17" s="41">
        <f t="shared" si="8"/>
        <v>2010342300</v>
      </c>
      <c r="AA17" s="11">
        <f t="shared" si="9"/>
        <v>2010342300</v>
      </c>
      <c r="AB17" s="9">
        <f t="shared" si="17"/>
        <v>0.5</v>
      </c>
      <c r="AC17" s="50"/>
      <c r="AD17" s="66"/>
      <c r="AE17" s="67"/>
      <c r="AF17" s="67"/>
      <c r="AG17" s="67"/>
    </row>
    <row r="18" spans="1:33" ht="12">
      <c r="A18" s="8" t="s">
        <v>24</v>
      </c>
      <c r="B18" s="11">
        <v>3529929627</v>
      </c>
      <c r="C18" s="11">
        <v>150000000</v>
      </c>
      <c r="D18" s="11">
        <v>7192942</v>
      </c>
      <c r="E18" s="34">
        <f t="shared" si="12"/>
        <v>3522736685</v>
      </c>
      <c r="F18" s="11">
        <f t="shared" si="0"/>
        <v>70454733.7</v>
      </c>
      <c r="G18" s="49">
        <f>211364201+23557386</f>
        <v>234921587</v>
      </c>
      <c r="H18" s="11">
        <f t="shared" si="1"/>
        <v>4698431.74</v>
      </c>
      <c r="I18" s="11">
        <f t="shared" si="2"/>
        <v>230223155.26</v>
      </c>
      <c r="J18" s="11">
        <v>438228444</v>
      </c>
      <c r="K18" s="11">
        <f t="shared" si="3"/>
        <v>8764568.88</v>
      </c>
      <c r="L18" s="11">
        <f t="shared" si="10"/>
        <v>429463875.12</v>
      </c>
      <c r="M18" s="41">
        <f t="shared" si="11"/>
        <v>673150031</v>
      </c>
      <c r="N18" s="41">
        <v>266246418</v>
      </c>
      <c r="O18" s="41">
        <f t="shared" si="4"/>
        <v>5324928.36</v>
      </c>
      <c r="P18" s="41">
        <f t="shared" si="5"/>
        <v>260921489.64</v>
      </c>
      <c r="Q18" s="41">
        <v>234849112</v>
      </c>
      <c r="R18" s="41">
        <f t="shared" si="13"/>
        <v>4696982.24</v>
      </c>
      <c r="S18" s="41">
        <f t="shared" si="14"/>
        <v>230152129.76</v>
      </c>
      <c r="T18" s="41">
        <v>234849112</v>
      </c>
      <c r="U18" s="41">
        <f t="shared" si="15"/>
        <v>4696982.24</v>
      </c>
      <c r="V18" s="41">
        <f t="shared" si="16"/>
        <v>230152129.76</v>
      </c>
      <c r="W18" s="41">
        <v>552273668</v>
      </c>
      <c r="X18" s="41">
        <f t="shared" si="6"/>
        <v>11045473.36</v>
      </c>
      <c r="Y18" s="41">
        <f t="shared" si="7"/>
        <v>541228194.64</v>
      </c>
      <c r="Z18" s="41">
        <f t="shared" si="8"/>
        <v>1961368341</v>
      </c>
      <c r="AA18" s="11">
        <f t="shared" si="9"/>
        <v>1561368344</v>
      </c>
      <c r="AB18" s="9">
        <f t="shared" si="17"/>
        <v>0.5567740414296676</v>
      </c>
      <c r="AC18" s="50"/>
      <c r="AD18" s="66"/>
      <c r="AE18" s="67"/>
      <c r="AF18" s="67"/>
      <c r="AG18" s="67"/>
    </row>
    <row r="19" spans="1:33" ht="12.75" thickBot="1">
      <c r="A19" s="18" t="s">
        <v>25</v>
      </c>
      <c r="B19" s="19">
        <v>978035008</v>
      </c>
      <c r="C19" s="19">
        <v>941949082</v>
      </c>
      <c r="D19" s="19"/>
      <c r="E19" s="35">
        <f t="shared" si="12"/>
        <v>978035008</v>
      </c>
      <c r="F19" s="19">
        <f t="shared" si="0"/>
        <v>19560700.16</v>
      </c>
      <c r="G19" s="51">
        <f>58682100+6540355</f>
        <v>65222455</v>
      </c>
      <c r="H19" s="19">
        <f t="shared" si="1"/>
        <v>1304449.1</v>
      </c>
      <c r="I19" s="19">
        <f t="shared" si="2"/>
        <v>63918005.9</v>
      </c>
      <c r="J19" s="19">
        <v>121667555</v>
      </c>
      <c r="K19" s="19">
        <f t="shared" si="3"/>
        <v>2433351.1</v>
      </c>
      <c r="L19" s="11">
        <f t="shared" si="10"/>
        <v>119234203.9</v>
      </c>
      <c r="M19" s="41">
        <f t="shared" si="11"/>
        <v>186890010</v>
      </c>
      <c r="N19" s="41">
        <v>73919325</v>
      </c>
      <c r="O19" s="41">
        <f t="shared" si="4"/>
        <v>1478386.5</v>
      </c>
      <c r="P19" s="41">
        <f t="shared" si="5"/>
        <v>72440938.5</v>
      </c>
      <c r="Q19" s="41">
        <v>65202334</v>
      </c>
      <c r="R19" s="41">
        <f t="shared" si="13"/>
        <v>1304046.68</v>
      </c>
      <c r="S19" s="41">
        <f t="shared" si="14"/>
        <v>63898287.32</v>
      </c>
      <c r="T19" s="41">
        <v>65202334</v>
      </c>
      <c r="U19" s="41">
        <f t="shared" si="15"/>
        <v>1304046.68</v>
      </c>
      <c r="V19" s="41">
        <f t="shared" si="16"/>
        <v>63898287.32</v>
      </c>
      <c r="W19" s="41">
        <v>97803501</v>
      </c>
      <c r="X19" s="41">
        <f t="shared" si="6"/>
        <v>1956070.02</v>
      </c>
      <c r="Y19" s="41">
        <f t="shared" si="7"/>
        <v>95847430.98</v>
      </c>
      <c r="Z19" s="41">
        <f t="shared" si="8"/>
        <v>489017504</v>
      </c>
      <c r="AA19" s="11">
        <f t="shared" si="9"/>
        <v>489017504</v>
      </c>
      <c r="AB19" s="9">
        <f t="shared" si="17"/>
        <v>0.5</v>
      </c>
      <c r="AC19" s="50"/>
      <c r="AD19" s="66"/>
      <c r="AE19" s="67"/>
      <c r="AF19" s="67"/>
      <c r="AG19" s="67"/>
    </row>
    <row r="20" spans="1:33" ht="13.5" thickBot="1" thickTop="1">
      <c r="A20" s="4" t="s">
        <v>2</v>
      </c>
      <c r="B20" s="5">
        <f>SUM(B3:B19)</f>
        <v>786032520858</v>
      </c>
      <c r="C20" s="6">
        <f>SUM(C3:C19)</f>
        <v>733150300082</v>
      </c>
      <c r="D20" s="6">
        <f>SUM(D3:D18)</f>
        <v>1687913166</v>
      </c>
      <c r="E20" s="36">
        <f>SUM(E3:E19)</f>
        <v>784344607692</v>
      </c>
      <c r="F20" s="6">
        <f>SUM(F3:F19)</f>
        <v>15686892153.840002</v>
      </c>
      <c r="G20" s="37">
        <f>SUM(G3:G19)</f>
        <v>52305744003</v>
      </c>
      <c r="H20" s="6">
        <f>SUM(H3:H19)</f>
        <v>1046114880.06</v>
      </c>
      <c r="I20" s="6">
        <f t="shared" si="2"/>
        <v>51259629122.94</v>
      </c>
      <c r="J20" s="6">
        <f aca="true" t="shared" si="18" ref="J20:AA20">SUM(J3:J19)</f>
        <v>97572469196</v>
      </c>
      <c r="K20" s="6">
        <f t="shared" si="18"/>
        <v>1951449383.9200003</v>
      </c>
      <c r="L20" s="6">
        <f t="shared" si="18"/>
        <v>95621019812.07999</v>
      </c>
      <c r="M20" s="6">
        <f t="shared" si="18"/>
        <v>149878213199</v>
      </c>
      <c r="N20" s="6">
        <f t="shared" si="18"/>
        <v>59280348852</v>
      </c>
      <c r="O20" s="6">
        <f t="shared" si="18"/>
        <v>1185606977.0399997</v>
      </c>
      <c r="P20" s="6">
        <f t="shared" si="18"/>
        <v>58094741874.95999</v>
      </c>
      <c r="Q20" s="6">
        <f aca="true" t="shared" si="19" ref="Q20:V20">SUM(Q3:Q19)</f>
        <v>36029092265</v>
      </c>
      <c r="R20" s="6">
        <f t="shared" si="19"/>
        <v>720581845.3</v>
      </c>
      <c r="S20" s="6">
        <f t="shared" si="19"/>
        <v>35308510419.7</v>
      </c>
      <c r="T20" s="6">
        <f t="shared" si="19"/>
        <v>52400414699</v>
      </c>
      <c r="U20" s="6">
        <f t="shared" si="19"/>
        <v>1048008293.9799999</v>
      </c>
      <c r="V20" s="6">
        <f t="shared" si="19"/>
        <v>51352406405.020004</v>
      </c>
      <c r="W20" s="6">
        <f>SUM(W3:W19)</f>
        <v>86755538401</v>
      </c>
      <c r="X20" s="6">
        <f>SUM(X3:X19)</f>
        <v>1735110768.0199997</v>
      </c>
      <c r="Y20" s="6">
        <f>SUM(Y3:Y19)</f>
        <v>85020427632.98</v>
      </c>
      <c r="Z20" s="6">
        <f t="shared" si="18"/>
        <v>384343607416</v>
      </c>
      <c r="AA20" s="6">
        <f t="shared" si="18"/>
        <v>400001000276</v>
      </c>
      <c r="AB20" s="9" t="s">
        <v>3</v>
      </c>
      <c r="AC20" s="52"/>
      <c r="AD20" s="68"/>
      <c r="AE20" s="69"/>
      <c r="AF20" s="69"/>
      <c r="AG20" s="69"/>
    </row>
    <row r="21" spans="1:33" s="46" customFormat="1" ht="15.75" customHeight="1" thickBot="1" thickTop="1">
      <c r="A21" s="2" t="s">
        <v>49</v>
      </c>
      <c r="B21" s="22" t="s">
        <v>11</v>
      </c>
      <c r="C21" s="22"/>
      <c r="D21" s="22" t="s">
        <v>6</v>
      </c>
      <c r="E21" s="22" t="s">
        <v>50</v>
      </c>
      <c r="F21" s="39" t="s">
        <v>1</v>
      </c>
      <c r="G21" s="2" t="s">
        <v>7</v>
      </c>
      <c r="H21" s="2" t="s">
        <v>1</v>
      </c>
      <c r="I21" s="2" t="s">
        <v>52</v>
      </c>
      <c r="J21" s="2" t="s">
        <v>59</v>
      </c>
      <c r="K21" s="2" t="s">
        <v>1</v>
      </c>
      <c r="L21" s="2" t="s">
        <v>57</v>
      </c>
      <c r="M21" s="2" t="s">
        <v>58</v>
      </c>
      <c r="N21" s="2" t="s">
        <v>63</v>
      </c>
      <c r="O21" s="2" t="s">
        <v>1</v>
      </c>
      <c r="P21" s="2" t="s">
        <v>62</v>
      </c>
      <c r="Q21" s="2" t="s">
        <v>64</v>
      </c>
      <c r="R21" s="2" t="s">
        <v>1</v>
      </c>
      <c r="S21" s="2" t="s">
        <v>65</v>
      </c>
      <c r="T21" s="2" t="s">
        <v>66</v>
      </c>
      <c r="U21" s="2" t="s">
        <v>1</v>
      </c>
      <c r="V21" s="2" t="s">
        <v>67</v>
      </c>
      <c r="W21" s="2" t="s">
        <v>68</v>
      </c>
      <c r="X21" s="2" t="s">
        <v>1</v>
      </c>
      <c r="Y21" s="2" t="s">
        <v>69</v>
      </c>
      <c r="Z21" s="2" t="s">
        <v>70</v>
      </c>
      <c r="AA21" s="2" t="s">
        <v>54</v>
      </c>
      <c r="AB21" s="3" t="s">
        <v>48</v>
      </c>
      <c r="AC21" s="53"/>
      <c r="AD21" s="70"/>
      <c r="AE21" s="65"/>
      <c r="AF21" s="65"/>
      <c r="AG21" s="71"/>
    </row>
    <row r="22" spans="1:33" ht="12.75" thickTop="1">
      <c r="A22" s="7" t="s">
        <v>26</v>
      </c>
      <c r="B22" s="20">
        <v>144521956120</v>
      </c>
      <c r="C22" s="10"/>
      <c r="D22" s="10"/>
      <c r="E22" s="10">
        <f aca="true" t="shared" si="20" ref="E22:E38">B22-D22</f>
        <v>144521956120</v>
      </c>
      <c r="F22" s="10">
        <f>E22*2%</f>
        <v>2890439122.4</v>
      </c>
      <c r="G22" s="10">
        <f>8671317367+966453006</f>
        <v>9637770373</v>
      </c>
      <c r="H22" s="10">
        <f>G22*2%</f>
        <v>192755407.46</v>
      </c>
      <c r="I22" s="10">
        <f>G22-H22</f>
        <v>9445014965.54</v>
      </c>
      <c r="J22" s="10">
        <v>17978531341</v>
      </c>
      <c r="K22" s="10">
        <f>J22*2%</f>
        <v>359570626.82</v>
      </c>
      <c r="L22" s="10">
        <f>J22-K22</f>
        <v>17618960714.18</v>
      </c>
      <c r="M22" s="41">
        <f>G22+J22</f>
        <v>27616301714</v>
      </c>
      <c r="N22" s="41">
        <v>10922886585</v>
      </c>
      <c r="O22" s="41">
        <f>N22*2%</f>
        <v>218457731.70000002</v>
      </c>
      <c r="P22" s="41">
        <f>N22-O22</f>
        <v>10704428853.3</v>
      </c>
      <c r="Q22" s="41">
        <v>9634797075</v>
      </c>
      <c r="R22" s="41">
        <f>Q22*2%</f>
        <v>192695941.5</v>
      </c>
      <c r="S22" s="41">
        <f>Q22-R22</f>
        <v>9442101133.5</v>
      </c>
      <c r="T22" s="41">
        <v>9634797075</v>
      </c>
      <c r="U22" s="41">
        <f>T22*2%</f>
        <v>192695941.5</v>
      </c>
      <c r="V22" s="41">
        <f>T22-U22</f>
        <v>9442101133.5</v>
      </c>
      <c r="W22" s="41">
        <v>14452195613</v>
      </c>
      <c r="X22" s="41">
        <f>W22*2%</f>
        <v>289043912.26</v>
      </c>
      <c r="Y22" s="41">
        <f>W22-X22</f>
        <v>14163151700.74</v>
      </c>
      <c r="Z22" s="41">
        <f>G22+J22+N22+Q22+T22+W22</f>
        <v>72260978062</v>
      </c>
      <c r="AA22" s="41">
        <f>E22-Z22</f>
        <v>72260978058</v>
      </c>
      <c r="AB22" s="62">
        <f>Z22/E22</f>
        <v>0.5000000000138387</v>
      </c>
      <c r="AC22" s="54"/>
      <c r="AD22" s="66"/>
      <c r="AE22" s="67"/>
      <c r="AF22" s="67"/>
      <c r="AG22" s="67"/>
    </row>
    <row r="23" spans="1:33" ht="12">
      <c r="A23" s="8" t="s">
        <v>27</v>
      </c>
      <c r="B23" s="21">
        <v>40043680653</v>
      </c>
      <c r="C23" s="11"/>
      <c r="D23" s="11"/>
      <c r="E23" s="11">
        <f t="shared" si="20"/>
        <v>40043680653</v>
      </c>
      <c r="F23" s="11">
        <f>E23*2%</f>
        <v>800873613.0600001</v>
      </c>
      <c r="G23" s="11">
        <f>2402620839+267781703</f>
        <v>2670402542</v>
      </c>
      <c r="H23" s="11">
        <f aca="true" t="shared" si="21" ref="H23:H38">G23*2%</f>
        <v>53408050.84</v>
      </c>
      <c r="I23" s="11">
        <f aca="true" t="shared" si="22" ref="I23:I38">G23-H23</f>
        <v>2616994491.16</v>
      </c>
      <c r="J23" s="11">
        <v>4981805196</v>
      </c>
      <c r="K23" s="11">
        <f>J23*2%</f>
        <v>99636103.92</v>
      </c>
      <c r="L23" s="11">
        <f>J23-K23</f>
        <v>4882169092.08</v>
      </c>
      <c r="M23" s="41">
        <f aca="true" t="shared" si="23" ref="M23:M38">G23+J23</f>
        <v>7652207738</v>
      </c>
      <c r="N23" s="41">
        <v>3026107103</v>
      </c>
      <c r="O23" s="41">
        <f aca="true" t="shared" si="24" ref="O23:O38">N23*2%</f>
        <v>60522142.06</v>
      </c>
      <c r="P23" s="41">
        <f aca="true" t="shared" si="25" ref="P23:P38">N23-O23</f>
        <v>2965584960.94</v>
      </c>
      <c r="Q23" s="41">
        <v>2669578710</v>
      </c>
      <c r="R23" s="41">
        <f aca="true" t="shared" si="26" ref="R23:R38">Q23*2%</f>
        <v>53391574.2</v>
      </c>
      <c r="S23" s="41">
        <f aca="true" t="shared" si="27" ref="S23:S38">Q23-R23</f>
        <v>2616187135.8</v>
      </c>
      <c r="T23" s="41">
        <v>2669578710</v>
      </c>
      <c r="U23" s="41">
        <f aca="true" t="shared" si="28" ref="U23:U38">T23*2%</f>
        <v>53391574.2</v>
      </c>
      <c r="V23" s="41">
        <f aca="true" t="shared" si="29" ref="V23:V38">T23-U23</f>
        <v>2616187135.8</v>
      </c>
      <c r="W23" s="41">
        <v>4004368065</v>
      </c>
      <c r="X23" s="41">
        <f aca="true" t="shared" si="30" ref="X23:X38">W23*2%</f>
        <v>80087361.3</v>
      </c>
      <c r="Y23" s="41">
        <f aca="true" t="shared" si="31" ref="Y23:Y38">W23-X23</f>
        <v>3924280703.7</v>
      </c>
      <c r="Z23" s="41">
        <f>G23+J23+N23+Q23+T23+W23</f>
        <v>20021840326</v>
      </c>
      <c r="AA23" s="11">
        <f>SUM(E23-Z23)</f>
        <v>20021840327</v>
      </c>
      <c r="AB23" s="12">
        <f aca="true" t="shared" si="32" ref="AB23:AB39">Z23/E23</f>
        <v>0.49999999998751365</v>
      </c>
      <c r="AC23" s="54"/>
      <c r="AD23" s="66"/>
      <c r="AE23" s="67"/>
      <c r="AF23" s="67"/>
      <c r="AG23" s="67"/>
    </row>
    <row r="24" spans="1:33" ht="12">
      <c r="A24" s="8" t="s">
        <v>28</v>
      </c>
      <c r="B24" s="21">
        <v>30047304223</v>
      </c>
      <c r="C24" s="11"/>
      <c r="D24" s="11"/>
      <c r="E24" s="11">
        <f t="shared" si="20"/>
        <v>30047304223</v>
      </c>
      <c r="F24" s="11">
        <f aca="true" t="shared" si="33" ref="F24:F38">E24*2%</f>
        <v>600946084.46</v>
      </c>
      <c r="G24" s="11">
        <f>1802838253+200933535</f>
        <v>2003771788</v>
      </c>
      <c r="H24" s="11">
        <f t="shared" si="21"/>
        <v>40075435.76</v>
      </c>
      <c r="I24" s="11">
        <f t="shared" si="22"/>
        <v>1963696352.24</v>
      </c>
      <c r="J24" s="11">
        <v>3737884645</v>
      </c>
      <c r="K24" s="11">
        <f aca="true" t="shared" si="34" ref="K24:K38">J24*2%</f>
        <v>74757692.9</v>
      </c>
      <c r="L24" s="11">
        <f aca="true" t="shared" si="35" ref="L24:L38">J24-K24</f>
        <v>3663126952.1</v>
      </c>
      <c r="M24" s="41">
        <f t="shared" si="23"/>
        <v>5741656433</v>
      </c>
      <c r="N24" s="41">
        <v>2270958026</v>
      </c>
      <c r="O24" s="41">
        <f t="shared" si="24"/>
        <v>45419160.52</v>
      </c>
      <c r="P24" s="41">
        <f t="shared" si="25"/>
        <v>2225538865.48</v>
      </c>
      <c r="Q24" s="41">
        <v>2003153615</v>
      </c>
      <c r="R24" s="41">
        <f t="shared" si="26"/>
        <v>40063072.300000004</v>
      </c>
      <c r="S24" s="41">
        <f t="shared" si="27"/>
        <v>1963090542.7</v>
      </c>
      <c r="T24" s="41">
        <v>2003153615</v>
      </c>
      <c r="U24" s="41">
        <f t="shared" si="28"/>
        <v>40063072.300000004</v>
      </c>
      <c r="V24" s="41">
        <f t="shared" si="29"/>
        <v>1963090542.7</v>
      </c>
      <c r="W24" s="41">
        <v>3004730423</v>
      </c>
      <c r="X24" s="41">
        <f t="shared" si="30"/>
        <v>60094608.46</v>
      </c>
      <c r="Y24" s="41">
        <f t="shared" si="31"/>
        <v>2944635814.54</v>
      </c>
      <c r="Z24" s="41">
        <f aca="true" t="shared" si="36" ref="Z24:Z38">G24+J24+N24+Q24+T24+W24</f>
        <v>15023652112</v>
      </c>
      <c r="AA24" s="11">
        <f aca="true" t="shared" si="37" ref="AA24:AA38">SUM(E24-Z24)</f>
        <v>15023652111</v>
      </c>
      <c r="AB24" s="12">
        <f t="shared" si="32"/>
        <v>0.5000000000166405</v>
      </c>
      <c r="AC24" s="54"/>
      <c r="AD24" s="66"/>
      <c r="AE24" s="67"/>
      <c r="AF24" s="67"/>
      <c r="AG24" s="67"/>
    </row>
    <row r="25" spans="1:33" ht="12">
      <c r="A25" s="8" t="s">
        <v>47</v>
      </c>
      <c r="B25" s="21">
        <v>13913340011</v>
      </c>
      <c r="C25" s="11"/>
      <c r="D25" s="11"/>
      <c r="E25" s="11">
        <f t="shared" si="20"/>
        <v>13913340011</v>
      </c>
      <c r="F25" s="11">
        <f t="shared" si="33"/>
        <v>278266800.22</v>
      </c>
      <c r="G25" s="11">
        <f>834800401+93041844</f>
        <v>927842245</v>
      </c>
      <c r="H25" s="11">
        <f t="shared" si="21"/>
        <v>18556844.900000002</v>
      </c>
      <c r="I25" s="11">
        <f t="shared" si="22"/>
        <v>909285400.1</v>
      </c>
      <c r="J25" s="11">
        <v>1730819497</v>
      </c>
      <c r="K25" s="11">
        <f t="shared" si="34"/>
        <v>34616389.94</v>
      </c>
      <c r="L25" s="11">
        <f t="shared" si="35"/>
        <v>1696203107.06</v>
      </c>
      <c r="M25" s="41">
        <f t="shared" si="23"/>
        <v>2658661742</v>
      </c>
      <c r="N25" s="41">
        <v>1051562261</v>
      </c>
      <c r="O25" s="41">
        <f t="shared" si="24"/>
        <v>21031245.22</v>
      </c>
      <c r="P25" s="41">
        <f t="shared" si="25"/>
        <v>1030531015.78</v>
      </c>
      <c r="Q25" s="41">
        <v>927556001</v>
      </c>
      <c r="R25" s="41">
        <f t="shared" si="26"/>
        <v>18551120.02</v>
      </c>
      <c r="S25" s="41">
        <f t="shared" si="27"/>
        <v>909004880.98</v>
      </c>
      <c r="T25" s="41">
        <v>927556001</v>
      </c>
      <c r="U25" s="41">
        <f t="shared" si="28"/>
        <v>18551120.02</v>
      </c>
      <c r="V25" s="41">
        <f t="shared" si="29"/>
        <v>909004880.98</v>
      </c>
      <c r="W25" s="41">
        <v>1391334002</v>
      </c>
      <c r="X25" s="41">
        <f t="shared" si="30"/>
        <v>27826680.04</v>
      </c>
      <c r="Y25" s="41">
        <f t="shared" si="31"/>
        <v>1363507321.96</v>
      </c>
      <c r="Z25" s="41">
        <f t="shared" si="36"/>
        <v>6956670007</v>
      </c>
      <c r="AA25" s="11">
        <f t="shared" si="37"/>
        <v>6956670004</v>
      </c>
      <c r="AB25" s="12">
        <f t="shared" si="32"/>
        <v>0.5000000001078102</v>
      </c>
      <c r="AC25" s="54"/>
      <c r="AD25" s="66"/>
      <c r="AE25" s="67"/>
      <c r="AF25" s="67"/>
      <c r="AG25" s="67"/>
    </row>
    <row r="26" spans="1:33" ht="12">
      <c r="A26" s="8" t="s">
        <v>29</v>
      </c>
      <c r="B26" s="21">
        <v>57533872426</v>
      </c>
      <c r="C26" s="11"/>
      <c r="D26" s="11"/>
      <c r="E26" s="11">
        <f t="shared" si="20"/>
        <v>57533872426</v>
      </c>
      <c r="F26" s="11">
        <f t="shared" si="33"/>
        <v>1150677448.52</v>
      </c>
      <c r="G26" s="11">
        <f>3452032346+384742813</f>
        <v>3836775159</v>
      </c>
      <c r="H26" s="11">
        <f t="shared" si="21"/>
        <v>76735503.18</v>
      </c>
      <c r="I26" s="11">
        <f t="shared" si="22"/>
        <v>3760039655.82</v>
      </c>
      <c r="J26" s="11">
        <v>7157213730</v>
      </c>
      <c r="K26" s="11">
        <f t="shared" si="34"/>
        <v>143144274.6</v>
      </c>
      <c r="L26" s="11">
        <f t="shared" si="35"/>
        <v>7014069455.4</v>
      </c>
      <c r="M26" s="41">
        <f t="shared" si="23"/>
        <v>10993988889</v>
      </c>
      <c r="N26" s="41">
        <v>4348377091</v>
      </c>
      <c r="O26" s="41">
        <f t="shared" si="24"/>
        <v>86967541.82000001</v>
      </c>
      <c r="P26" s="41">
        <f t="shared" si="25"/>
        <v>4261409549.18</v>
      </c>
      <c r="Q26" s="41">
        <v>3835591495</v>
      </c>
      <c r="R26" s="41">
        <f t="shared" si="26"/>
        <v>76711829.9</v>
      </c>
      <c r="S26" s="41">
        <f t="shared" si="27"/>
        <v>3758879665.1</v>
      </c>
      <c r="T26" s="41">
        <v>3835591495</v>
      </c>
      <c r="U26" s="41">
        <f t="shared" si="28"/>
        <v>76711829.9</v>
      </c>
      <c r="V26" s="41">
        <f t="shared" si="29"/>
        <v>3758879665.1</v>
      </c>
      <c r="W26" s="41">
        <v>5753387243</v>
      </c>
      <c r="X26" s="41">
        <f t="shared" si="30"/>
        <v>115067744.86</v>
      </c>
      <c r="Y26" s="41">
        <f t="shared" si="31"/>
        <v>5638319498.14</v>
      </c>
      <c r="Z26" s="41">
        <f t="shared" si="36"/>
        <v>28766936213</v>
      </c>
      <c r="AA26" s="11">
        <f t="shared" si="37"/>
        <v>28766936213</v>
      </c>
      <c r="AB26" s="12">
        <f t="shared" si="32"/>
        <v>0.5</v>
      </c>
      <c r="AC26" s="54"/>
      <c r="AD26" s="66"/>
      <c r="AE26" s="67"/>
      <c r="AF26" s="67"/>
      <c r="AG26" s="67"/>
    </row>
    <row r="27" spans="1:33" ht="12">
      <c r="A27" s="8" t="s">
        <v>30</v>
      </c>
      <c r="B27" s="21">
        <v>24979988496</v>
      </c>
      <c r="C27" s="11"/>
      <c r="D27" s="11"/>
      <c r="E27" s="11">
        <f t="shared" si="20"/>
        <v>24979988496</v>
      </c>
      <c r="F27" s="11">
        <f t="shared" si="33"/>
        <v>499599769.92</v>
      </c>
      <c r="G27" s="11">
        <f>1498799310+167047178</f>
        <v>1665846488</v>
      </c>
      <c r="H27" s="11">
        <f t="shared" si="21"/>
        <v>33316929.76</v>
      </c>
      <c r="I27" s="11">
        <f t="shared" si="22"/>
        <v>1632529558.24</v>
      </c>
      <c r="J27" s="11">
        <v>3107510569</v>
      </c>
      <c r="K27" s="11">
        <f t="shared" si="34"/>
        <v>62150211.38</v>
      </c>
      <c r="L27" s="11">
        <f t="shared" si="35"/>
        <v>3045360357.62</v>
      </c>
      <c r="M27" s="41">
        <f t="shared" si="23"/>
        <v>4773357057</v>
      </c>
      <c r="N27" s="41">
        <v>1887973209</v>
      </c>
      <c r="O27" s="41">
        <f t="shared" si="24"/>
        <v>37759464.18</v>
      </c>
      <c r="P27" s="41">
        <f t="shared" si="25"/>
        <v>1850213744.82</v>
      </c>
      <c r="Q27" s="41">
        <v>1665332566</v>
      </c>
      <c r="R27" s="41">
        <f t="shared" si="26"/>
        <v>33306651.32</v>
      </c>
      <c r="S27" s="41">
        <f t="shared" si="27"/>
        <v>1632025914.68</v>
      </c>
      <c r="T27" s="41">
        <v>1665332566</v>
      </c>
      <c r="U27" s="41">
        <f t="shared" si="28"/>
        <v>33306651.32</v>
      </c>
      <c r="V27" s="41">
        <f t="shared" si="29"/>
        <v>1632025914.68</v>
      </c>
      <c r="W27" s="41">
        <v>2497998849</v>
      </c>
      <c r="X27" s="41">
        <f t="shared" si="30"/>
        <v>49959976.980000004</v>
      </c>
      <c r="Y27" s="41">
        <f t="shared" si="31"/>
        <v>2448038872.02</v>
      </c>
      <c r="Z27" s="41">
        <f t="shared" si="36"/>
        <v>12489994247</v>
      </c>
      <c r="AA27" s="11">
        <f t="shared" si="37"/>
        <v>12489994249</v>
      </c>
      <c r="AB27" s="12">
        <f t="shared" si="32"/>
        <v>0.49999999995996797</v>
      </c>
      <c r="AC27" s="54"/>
      <c r="AD27" s="66"/>
      <c r="AE27" s="67"/>
      <c r="AF27" s="67"/>
      <c r="AG27" s="67"/>
    </row>
    <row r="28" spans="1:33" ht="12">
      <c r="A28" s="8" t="s">
        <v>31</v>
      </c>
      <c r="B28" s="21">
        <v>19966527987</v>
      </c>
      <c r="C28" s="11"/>
      <c r="D28" s="11"/>
      <c r="E28" s="11">
        <f t="shared" si="20"/>
        <v>19966527987</v>
      </c>
      <c r="F28" s="11">
        <f t="shared" si="33"/>
        <v>399330559.74</v>
      </c>
      <c r="G28" s="11">
        <f>1197991679+133520965</f>
        <v>1331512644</v>
      </c>
      <c r="H28" s="11">
        <f t="shared" si="21"/>
        <v>26630252.88</v>
      </c>
      <c r="I28" s="11">
        <f t="shared" si="22"/>
        <v>1304882391.12</v>
      </c>
      <c r="J28" s="11">
        <v>2483836082</v>
      </c>
      <c r="K28" s="11">
        <f t="shared" si="34"/>
        <v>49676721.64</v>
      </c>
      <c r="L28" s="11">
        <f t="shared" si="35"/>
        <v>2434159360.36</v>
      </c>
      <c r="M28" s="41">
        <f t="shared" si="23"/>
        <v>3815348726</v>
      </c>
      <c r="N28" s="41">
        <v>1509058737</v>
      </c>
      <c r="O28" s="41">
        <f t="shared" si="24"/>
        <v>30181174.740000002</v>
      </c>
      <c r="P28" s="41">
        <f t="shared" si="25"/>
        <v>1478877562.26</v>
      </c>
      <c r="Q28" s="41">
        <v>1331101866</v>
      </c>
      <c r="R28" s="41">
        <f t="shared" si="26"/>
        <v>26622037.32</v>
      </c>
      <c r="S28" s="41">
        <f t="shared" si="27"/>
        <v>1304479828.68</v>
      </c>
      <c r="T28" s="41">
        <v>1331101866</v>
      </c>
      <c r="U28" s="41">
        <f t="shared" si="28"/>
        <v>26622037.32</v>
      </c>
      <c r="V28" s="41">
        <f t="shared" si="29"/>
        <v>1304479828.68</v>
      </c>
      <c r="W28" s="41">
        <v>1996652799</v>
      </c>
      <c r="X28" s="41">
        <f t="shared" si="30"/>
        <v>39933055.980000004</v>
      </c>
      <c r="Y28" s="41">
        <f t="shared" si="31"/>
        <v>1956719743.02</v>
      </c>
      <c r="Z28" s="41">
        <f t="shared" si="36"/>
        <v>9983263994</v>
      </c>
      <c r="AA28" s="11">
        <f t="shared" si="37"/>
        <v>9983263993</v>
      </c>
      <c r="AB28" s="12">
        <f t="shared" si="32"/>
        <v>0.5000000000250419</v>
      </c>
      <c r="AC28" s="54"/>
      <c r="AD28" s="66"/>
      <c r="AE28" s="67"/>
      <c r="AF28" s="67"/>
      <c r="AG28" s="67"/>
    </row>
    <row r="29" spans="1:33" ht="12">
      <c r="A29" s="8" t="s">
        <v>32</v>
      </c>
      <c r="B29" s="21">
        <v>108148853633</v>
      </c>
      <c r="C29" s="11"/>
      <c r="D29" s="11"/>
      <c r="E29" s="11">
        <f t="shared" si="20"/>
        <v>108148853633</v>
      </c>
      <c r="F29" s="11">
        <f t="shared" si="33"/>
        <v>2162977072.66</v>
      </c>
      <c r="G29" s="11">
        <f>6488931218+723217340</f>
        <v>7212148558</v>
      </c>
      <c r="H29" s="11">
        <f t="shared" si="21"/>
        <v>144242971.16</v>
      </c>
      <c r="I29" s="11">
        <f t="shared" si="22"/>
        <v>7067905586.84</v>
      </c>
      <c r="J29" s="11">
        <v>13453717392</v>
      </c>
      <c r="K29" s="11">
        <f t="shared" si="34"/>
        <v>269074347.84000003</v>
      </c>
      <c r="L29" s="11">
        <f t="shared" si="35"/>
        <v>13184643044.16</v>
      </c>
      <c r="M29" s="41">
        <f t="shared" si="23"/>
        <v>20665865950</v>
      </c>
      <c r="N29" s="41">
        <v>8173828352</v>
      </c>
      <c r="O29" s="41">
        <f t="shared" si="24"/>
        <v>163476567.04</v>
      </c>
      <c r="P29" s="41">
        <f t="shared" si="25"/>
        <v>8010351784.96</v>
      </c>
      <c r="Q29" s="41">
        <v>7209923576</v>
      </c>
      <c r="R29" s="41">
        <f t="shared" si="26"/>
        <v>144198471.52</v>
      </c>
      <c r="S29" s="41">
        <f t="shared" si="27"/>
        <v>7065725104.48</v>
      </c>
      <c r="T29" s="41">
        <v>7209923576</v>
      </c>
      <c r="U29" s="41">
        <f t="shared" si="28"/>
        <v>144198471.52</v>
      </c>
      <c r="V29" s="41">
        <f t="shared" si="29"/>
        <v>7065725104.48</v>
      </c>
      <c r="W29" s="41">
        <v>10814885364</v>
      </c>
      <c r="X29" s="41">
        <f t="shared" si="30"/>
        <v>216297707.28</v>
      </c>
      <c r="Y29" s="41">
        <f t="shared" si="31"/>
        <v>10598587656.72</v>
      </c>
      <c r="Z29" s="41">
        <f t="shared" si="36"/>
        <v>54074426818</v>
      </c>
      <c r="AA29" s="11">
        <f t="shared" si="37"/>
        <v>54074426815</v>
      </c>
      <c r="AB29" s="12">
        <f t="shared" si="32"/>
        <v>0.5000000000138698</v>
      </c>
      <c r="AC29" s="54"/>
      <c r="AD29" s="66"/>
      <c r="AE29" s="67"/>
      <c r="AF29" s="67"/>
      <c r="AG29" s="67"/>
    </row>
    <row r="30" spans="1:33" ht="12">
      <c r="A30" s="8" t="s">
        <v>33</v>
      </c>
      <c r="B30" s="21">
        <v>8401819006</v>
      </c>
      <c r="C30" s="11"/>
      <c r="D30" s="11"/>
      <c r="E30" s="11">
        <f t="shared" si="20"/>
        <v>8401819006</v>
      </c>
      <c r="F30" s="11">
        <f t="shared" si="33"/>
        <v>168036380.12</v>
      </c>
      <c r="G30" s="11">
        <f>504109140+56184980</f>
        <v>560294120</v>
      </c>
      <c r="H30" s="11">
        <f t="shared" si="21"/>
        <v>11205882.4</v>
      </c>
      <c r="I30" s="11">
        <f t="shared" si="22"/>
        <v>549088237.6</v>
      </c>
      <c r="J30" s="11">
        <v>1045186284</v>
      </c>
      <c r="K30" s="11">
        <f t="shared" si="34"/>
        <v>20903725.68</v>
      </c>
      <c r="L30" s="11">
        <f t="shared" si="35"/>
        <v>1024282558.32</v>
      </c>
      <c r="M30" s="41">
        <f t="shared" si="23"/>
        <v>1605480404</v>
      </c>
      <c r="N30" s="41">
        <v>635004664</v>
      </c>
      <c r="O30" s="41">
        <f t="shared" si="24"/>
        <v>12700093.280000001</v>
      </c>
      <c r="P30" s="41">
        <f t="shared" si="25"/>
        <v>622304570.72</v>
      </c>
      <c r="Q30" s="41">
        <v>560121267</v>
      </c>
      <c r="R30" s="41">
        <f t="shared" si="26"/>
        <v>11202425.34</v>
      </c>
      <c r="S30" s="41">
        <f t="shared" si="27"/>
        <v>548918841.66</v>
      </c>
      <c r="T30" s="41">
        <v>560121267</v>
      </c>
      <c r="U30" s="41">
        <f t="shared" si="28"/>
        <v>11202425.34</v>
      </c>
      <c r="V30" s="41">
        <f t="shared" si="29"/>
        <v>548918841.66</v>
      </c>
      <c r="W30" s="41">
        <v>840181901</v>
      </c>
      <c r="X30" s="41">
        <f t="shared" si="30"/>
        <v>16803638.02</v>
      </c>
      <c r="Y30" s="41">
        <f t="shared" si="31"/>
        <v>823378262.98</v>
      </c>
      <c r="Z30" s="41">
        <f t="shared" si="36"/>
        <v>4200909503</v>
      </c>
      <c r="AA30" s="11">
        <f t="shared" si="37"/>
        <v>4200909503</v>
      </c>
      <c r="AB30" s="12">
        <f t="shared" si="32"/>
        <v>0.5</v>
      </c>
      <c r="AC30" s="54"/>
      <c r="AD30" s="66"/>
      <c r="AE30" s="67"/>
      <c r="AF30" s="67"/>
      <c r="AG30" s="67"/>
    </row>
    <row r="31" spans="1:33" ht="12">
      <c r="A31" s="8" t="s">
        <v>34</v>
      </c>
      <c r="B31" s="21">
        <v>57868458165</v>
      </c>
      <c r="C31" s="11"/>
      <c r="D31" s="11"/>
      <c r="E31" s="11">
        <f t="shared" si="20"/>
        <v>57868458165</v>
      </c>
      <c r="F31" s="11">
        <f t="shared" si="33"/>
        <v>1157369163.3</v>
      </c>
      <c r="G31" s="11">
        <f>3472107490+386980268</f>
        <v>3859087758</v>
      </c>
      <c r="H31" s="11">
        <f t="shared" si="21"/>
        <v>77181755.16</v>
      </c>
      <c r="I31" s="11">
        <f t="shared" si="22"/>
        <v>3781906002.84</v>
      </c>
      <c r="J31" s="11">
        <v>7198836196</v>
      </c>
      <c r="K31" s="11">
        <f t="shared" si="34"/>
        <v>143976723.92000002</v>
      </c>
      <c r="L31" s="11">
        <f t="shared" si="35"/>
        <v>7054859472.08</v>
      </c>
      <c r="M31" s="41">
        <f t="shared" si="23"/>
        <v>11057923954</v>
      </c>
      <c r="N31" s="41">
        <v>4373664890</v>
      </c>
      <c r="O31" s="41">
        <f t="shared" si="24"/>
        <v>87473297.8</v>
      </c>
      <c r="P31" s="41">
        <f t="shared" si="25"/>
        <v>4286191592.2</v>
      </c>
      <c r="Q31" s="41">
        <v>3857897211</v>
      </c>
      <c r="R31" s="41">
        <f t="shared" si="26"/>
        <v>77157944.22</v>
      </c>
      <c r="S31" s="41">
        <f t="shared" si="27"/>
        <v>3780739266.78</v>
      </c>
      <c r="T31" s="41">
        <v>3857897211</v>
      </c>
      <c r="U31" s="41">
        <f t="shared" si="28"/>
        <v>77157944.22</v>
      </c>
      <c r="V31" s="41">
        <f t="shared" si="29"/>
        <v>3780739266.78</v>
      </c>
      <c r="W31" s="41">
        <v>5786845817</v>
      </c>
      <c r="X31" s="41">
        <f t="shared" si="30"/>
        <v>115736916.34</v>
      </c>
      <c r="Y31" s="41">
        <f t="shared" si="31"/>
        <v>5671108900.66</v>
      </c>
      <c r="Z31" s="41">
        <f t="shared" si="36"/>
        <v>28934229083</v>
      </c>
      <c r="AA31" s="11">
        <f t="shared" si="37"/>
        <v>28934229082</v>
      </c>
      <c r="AB31" s="12">
        <f t="shared" si="32"/>
        <v>0.5000000000086403</v>
      </c>
      <c r="AC31" s="54"/>
      <c r="AD31" s="66"/>
      <c r="AE31" s="67"/>
      <c r="AF31" s="67"/>
      <c r="AG31" s="67"/>
    </row>
    <row r="32" spans="1:33" ht="12">
      <c r="A32" s="8" t="s">
        <v>35</v>
      </c>
      <c r="B32" s="21">
        <v>21129942019</v>
      </c>
      <c r="C32" s="11"/>
      <c r="D32" s="11"/>
      <c r="E32" s="11">
        <f t="shared" si="20"/>
        <v>21129942019</v>
      </c>
      <c r="F32" s="11">
        <f t="shared" si="33"/>
        <v>422598840.38</v>
      </c>
      <c r="G32" s="11">
        <f>1267796521+141300993</f>
        <v>1409097514</v>
      </c>
      <c r="H32" s="11">
        <f t="shared" si="21"/>
        <v>28181950.28</v>
      </c>
      <c r="I32" s="11">
        <f t="shared" si="22"/>
        <v>1380915563.72</v>
      </c>
      <c r="J32" s="11">
        <v>2628564787</v>
      </c>
      <c r="K32" s="11">
        <f t="shared" si="34"/>
        <v>52571295.74</v>
      </c>
      <c r="L32" s="11">
        <f t="shared" si="35"/>
        <v>2575993491.26</v>
      </c>
      <c r="M32" s="41">
        <f t="shared" si="23"/>
        <v>4037662301</v>
      </c>
      <c r="N32" s="41">
        <v>1596988904</v>
      </c>
      <c r="O32" s="41">
        <f t="shared" si="24"/>
        <v>31939778.080000002</v>
      </c>
      <c r="P32" s="41">
        <f t="shared" si="25"/>
        <v>1565049125.92</v>
      </c>
      <c r="Q32" s="41">
        <v>1408662801</v>
      </c>
      <c r="R32" s="41">
        <f t="shared" si="26"/>
        <v>28173256.02</v>
      </c>
      <c r="S32" s="41">
        <f t="shared" si="27"/>
        <v>1380489544.98</v>
      </c>
      <c r="T32" s="41">
        <v>1408662801</v>
      </c>
      <c r="U32" s="41">
        <f t="shared" si="28"/>
        <v>28173256.02</v>
      </c>
      <c r="V32" s="41">
        <f t="shared" si="29"/>
        <v>1380489544.98</v>
      </c>
      <c r="W32" s="41">
        <v>2112994202</v>
      </c>
      <c r="X32" s="41">
        <f t="shared" si="30"/>
        <v>42259884.04</v>
      </c>
      <c r="Y32" s="41">
        <f t="shared" si="31"/>
        <v>2070734317.96</v>
      </c>
      <c r="Z32" s="41">
        <f t="shared" si="36"/>
        <v>10564971009</v>
      </c>
      <c r="AA32" s="11">
        <f t="shared" si="37"/>
        <v>10564971010</v>
      </c>
      <c r="AB32" s="12">
        <f t="shared" si="32"/>
        <v>0.4999999999763369</v>
      </c>
      <c r="AC32" s="54"/>
      <c r="AD32" s="66"/>
      <c r="AE32" s="67"/>
      <c r="AF32" s="67"/>
      <c r="AG32" s="67"/>
    </row>
    <row r="33" spans="1:33" ht="12">
      <c r="A33" s="8" t="s">
        <v>36</v>
      </c>
      <c r="B33" s="21">
        <v>15073538704</v>
      </c>
      <c r="C33" s="11"/>
      <c r="D33" s="11"/>
      <c r="E33" s="11">
        <f t="shared" si="20"/>
        <v>15073538704</v>
      </c>
      <c r="F33" s="11">
        <f t="shared" si="33"/>
        <v>301470774.08</v>
      </c>
      <c r="G33" s="11">
        <f>904412322+100800371</f>
        <v>1005212693</v>
      </c>
      <c r="H33" s="11">
        <f t="shared" si="21"/>
        <v>20104253.86</v>
      </c>
      <c r="I33" s="11">
        <f t="shared" si="22"/>
        <v>985108439.14</v>
      </c>
      <c r="J33" s="11">
        <v>1875148215</v>
      </c>
      <c r="K33" s="11">
        <f t="shared" si="34"/>
        <v>37502964.300000004</v>
      </c>
      <c r="L33" s="11">
        <f t="shared" si="35"/>
        <v>1837645250.7</v>
      </c>
      <c r="M33" s="41">
        <f t="shared" si="23"/>
        <v>2880360908</v>
      </c>
      <c r="N33" s="41">
        <v>1139249413</v>
      </c>
      <c r="O33" s="41">
        <f t="shared" si="24"/>
        <v>22784988.26</v>
      </c>
      <c r="P33" s="41">
        <f t="shared" si="25"/>
        <v>1116464424.74</v>
      </c>
      <c r="Q33" s="41">
        <v>1004902580</v>
      </c>
      <c r="R33" s="41">
        <f t="shared" si="26"/>
        <v>20098051.6</v>
      </c>
      <c r="S33" s="41">
        <f t="shared" si="27"/>
        <v>984804528.4</v>
      </c>
      <c r="T33" s="41">
        <v>1004902580</v>
      </c>
      <c r="U33" s="41">
        <f t="shared" si="28"/>
        <v>20098051.6</v>
      </c>
      <c r="V33" s="41">
        <f t="shared" si="29"/>
        <v>984804528.4</v>
      </c>
      <c r="W33" s="41">
        <v>1507353870</v>
      </c>
      <c r="X33" s="41">
        <f t="shared" si="30"/>
        <v>30147077.400000002</v>
      </c>
      <c r="Y33" s="41">
        <f t="shared" si="31"/>
        <v>1477206792.6</v>
      </c>
      <c r="Z33" s="41">
        <f t="shared" si="36"/>
        <v>7536769351</v>
      </c>
      <c r="AA33" s="11">
        <f t="shared" si="37"/>
        <v>7536769353</v>
      </c>
      <c r="AB33" s="12">
        <f t="shared" si="32"/>
        <v>0.49999999993365857</v>
      </c>
      <c r="AC33" s="54"/>
      <c r="AD33" s="66"/>
      <c r="AE33" s="67"/>
      <c r="AF33" s="67"/>
      <c r="AG33" s="67"/>
    </row>
    <row r="34" spans="1:33" ht="12">
      <c r="A34" s="8" t="s">
        <v>37</v>
      </c>
      <c r="B34" s="21">
        <v>3638845866</v>
      </c>
      <c r="C34" s="11"/>
      <c r="D34" s="11"/>
      <c r="E34" s="11">
        <f t="shared" si="20"/>
        <v>3638845866</v>
      </c>
      <c r="F34" s="11">
        <f t="shared" si="33"/>
        <v>72776917.32000001</v>
      </c>
      <c r="G34" s="11">
        <f>218330752+24333836</f>
        <v>242664588</v>
      </c>
      <c r="H34" s="11">
        <f t="shared" si="21"/>
        <v>4853291.76</v>
      </c>
      <c r="I34" s="11">
        <f t="shared" si="22"/>
        <v>237811296.24</v>
      </c>
      <c r="J34" s="11">
        <v>452672426</v>
      </c>
      <c r="K34" s="11">
        <f t="shared" si="34"/>
        <v>9053448.52</v>
      </c>
      <c r="L34" s="11">
        <f t="shared" si="35"/>
        <v>443618977.48</v>
      </c>
      <c r="M34" s="41">
        <f t="shared" si="23"/>
        <v>695337014</v>
      </c>
      <c r="N34" s="41">
        <v>275021884</v>
      </c>
      <c r="O34" s="41">
        <f t="shared" si="24"/>
        <v>5500437.68</v>
      </c>
      <c r="P34" s="41">
        <f t="shared" si="25"/>
        <v>269521446.32</v>
      </c>
      <c r="Q34" s="41">
        <v>242589724</v>
      </c>
      <c r="R34" s="41">
        <f t="shared" si="26"/>
        <v>4851794.48</v>
      </c>
      <c r="S34" s="41">
        <f t="shared" si="27"/>
        <v>237737929.52</v>
      </c>
      <c r="T34" s="41">
        <v>242589724</v>
      </c>
      <c r="U34" s="41">
        <f t="shared" si="28"/>
        <v>4851794.48</v>
      </c>
      <c r="V34" s="41">
        <f t="shared" si="29"/>
        <v>237737929.52</v>
      </c>
      <c r="W34" s="41">
        <v>363884586</v>
      </c>
      <c r="X34" s="41">
        <f t="shared" si="30"/>
        <v>7277691.72</v>
      </c>
      <c r="Y34" s="41">
        <f t="shared" si="31"/>
        <v>356606894.28</v>
      </c>
      <c r="Z34" s="41">
        <f t="shared" si="36"/>
        <v>1819422932</v>
      </c>
      <c r="AA34" s="11">
        <f t="shared" si="37"/>
        <v>1819422934</v>
      </c>
      <c r="AB34" s="12">
        <f t="shared" si="32"/>
        <v>0.4999999997251876</v>
      </c>
      <c r="AC34" s="54"/>
      <c r="AD34" s="66"/>
      <c r="AE34" s="67"/>
      <c r="AF34" s="67"/>
      <c r="AG34" s="67"/>
    </row>
    <row r="35" spans="1:33" ht="12">
      <c r="A35" s="8" t="s">
        <v>38</v>
      </c>
      <c r="B35" s="21">
        <v>7799263438</v>
      </c>
      <c r="C35" s="11"/>
      <c r="D35" s="11"/>
      <c r="E35" s="11">
        <f t="shared" si="20"/>
        <v>7799263438</v>
      </c>
      <c r="F35" s="11">
        <f t="shared" si="33"/>
        <v>155985268.76</v>
      </c>
      <c r="G35" s="11">
        <f>467955806+52155546</f>
        <v>520111352</v>
      </c>
      <c r="H35" s="11">
        <f t="shared" si="21"/>
        <v>10402227.040000001</v>
      </c>
      <c r="I35" s="11">
        <f t="shared" si="22"/>
        <v>509709124.96</v>
      </c>
      <c r="J35" s="11">
        <v>970228372</v>
      </c>
      <c r="K35" s="11">
        <f t="shared" si="34"/>
        <v>19404567.44</v>
      </c>
      <c r="L35" s="11">
        <f t="shared" si="35"/>
        <v>950823804.56</v>
      </c>
      <c r="M35" s="41">
        <f t="shared" si="23"/>
        <v>1490339724</v>
      </c>
      <c r="N35" s="41">
        <v>589463859</v>
      </c>
      <c r="O35" s="41">
        <f t="shared" si="24"/>
        <v>11789277.18</v>
      </c>
      <c r="P35" s="41">
        <f t="shared" si="25"/>
        <v>577674581.82</v>
      </c>
      <c r="Q35" s="41">
        <v>519950896</v>
      </c>
      <c r="R35" s="41">
        <f t="shared" si="26"/>
        <v>10399017.92</v>
      </c>
      <c r="S35" s="41">
        <f t="shared" si="27"/>
        <v>509551878.08</v>
      </c>
      <c r="T35" s="41">
        <v>519950896</v>
      </c>
      <c r="U35" s="41">
        <f t="shared" si="28"/>
        <v>10399017.92</v>
      </c>
      <c r="V35" s="41">
        <f t="shared" si="29"/>
        <v>509551878.08</v>
      </c>
      <c r="W35" s="41">
        <v>779926344</v>
      </c>
      <c r="X35" s="41">
        <f t="shared" si="30"/>
        <v>15598526.88</v>
      </c>
      <c r="Y35" s="41">
        <f t="shared" si="31"/>
        <v>764327817.12</v>
      </c>
      <c r="Z35" s="41">
        <f t="shared" si="36"/>
        <v>3899631719</v>
      </c>
      <c r="AA35" s="11">
        <f t="shared" si="37"/>
        <v>3899631719</v>
      </c>
      <c r="AB35" s="12">
        <f t="shared" si="32"/>
        <v>0.5</v>
      </c>
      <c r="AC35" s="54"/>
      <c r="AD35" s="66"/>
      <c r="AE35" s="67"/>
      <c r="AF35" s="67"/>
      <c r="AG35" s="67"/>
    </row>
    <row r="36" spans="1:33" ht="12">
      <c r="A36" s="8" t="s">
        <v>39</v>
      </c>
      <c r="B36" s="21">
        <v>1044201033</v>
      </c>
      <c r="C36" s="11"/>
      <c r="D36" s="11"/>
      <c r="E36" s="11">
        <f t="shared" si="20"/>
        <v>1044201033</v>
      </c>
      <c r="F36" s="11">
        <f t="shared" si="33"/>
        <v>20884020.66</v>
      </c>
      <c r="G36" s="11">
        <f>62652062+6982823</f>
        <v>69634885</v>
      </c>
      <c r="H36" s="11">
        <f t="shared" si="21"/>
        <v>1392697.7</v>
      </c>
      <c r="I36" s="11">
        <f t="shared" si="22"/>
        <v>68242187.3</v>
      </c>
      <c r="J36" s="11">
        <v>129898609</v>
      </c>
      <c r="K36" s="11">
        <f t="shared" si="34"/>
        <v>2597972.18</v>
      </c>
      <c r="L36" s="11">
        <f t="shared" si="35"/>
        <v>127300636.82</v>
      </c>
      <c r="M36" s="41">
        <f t="shared" si="23"/>
        <v>199533494</v>
      </c>
      <c r="N36" s="41">
        <v>78920115</v>
      </c>
      <c r="O36" s="41">
        <f t="shared" si="24"/>
        <v>1578402.3</v>
      </c>
      <c r="P36" s="41">
        <f t="shared" si="25"/>
        <v>77341712.7</v>
      </c>
      <c r="Q36" s="41">
        <v>69613402</v>
      </c>
      <c r="R36" s="41">
        <f t="shared" si="26"/>
        <v>1392268.04</v>
      </c>
      <c r="S36" s="41">
        <f t="shared" si="27"/>
        <v>68221133.96</v>
      </c>
      <c r="T36" s="41">
        <v>69613402</v>
      </c>
      <c r="U36" s="41">
        <f t="shared" si="28"/>
        <v>1392268.04</v>
      </c>
      <c r="V36" s="41">
        <f t="shared" si="29"/>
        <v>68221133.96</v>
      </c>
      <c r="W36" s="41">
        <v>104420103</v>
      </c>
      <c r="X36" s="41">
        <f t="shared" si="30"/>
        <v>2088402.06</v>
      </c>
      <c r="Y36" s="41">
        <f t="shared" si="31"/>
        <v>102331700.94</v>
      </c>
      <c r="Z36" s="41">
        <f t="shared" si="36"/>
        <v>522100516</v>
      </c>
      <c r="AA36" s="11">
        <f t="shared" si="37"/>
        <v>522100517</v>
      </c>
      <c r="AB36" s="12">
        <f t="shared" si="32"/>
        <v>0.49999999952116503</v>
      </c>
      <c r="AC36" s="54"/>
      <c r="AD36" s="66"/>
      <c r="AE36" s="67"/>
      <c r="AF36" s="67"/>
      <c r="AG36" s="67"/>
    </row>
    <row r="37" spans="1:33" ht="12">
      <c r="A37" s="8" t="s">
        <v>40</v>
      </c>
      <c r="B37" s="21">
        <v>7874821588</v>
      </c>
      <c r="C37" s="11"/>
      <c r="D37" s="11"/>
      <c r="E37" s="11">
        <f t="shared" si="20"/>
        <v>7874821588</v>
      </c>
      <c r="F37" s="11">
        <f t="shared" si="33"/>
        <v>157496431.76</v>
      </c>
      <c r="G37" s="11">
        <f>472489295+52660822</f>
        <v>525150117</v>
      </c>
      <c r="H37" s="11">
        <f t="shared" si="21"/>
        <v>10503002.34</v>
      </c>
      <c r="I37" s="11">
        <f t="shared" si="22"/>
        <v>514647114.66</v>
      </c>
      <c r="J37" s="11">
        <v>979627806</v>
      </c>
      <c r="K37" s="11">
        <f t="shared" si="34"/>
        <v>19592556.12</v>
      </c>
      <c r="L37" s="11">
        <f t="shared" si="35"/>
        <v>960035249.88</v>
      </c>
      <c r="M37" s="41">
        <f t="shared" si="23"/>
        <v>1504777923</v>
      </c>
      <c r="N37" s="41">
        <v>595174500</v>
      </c>
      <c r="O37" s="41">
        <f t="shared" si="24"/>
        <v>11903490</v>
      </c>
      <c r="P37" s="41">
        <f t="shared" si="25"/>
        <v>583271010</v>
      </c>
      <c r="Q37" s="41">
        <v>524988106</v>
      </c>
      <c r="R37" s="41">
        <f t="shared" si="26"/>
        <v>10499762.120000001</v>
      </c>
      <c r="S37" s="41">
        <f t="shared" si="27"/>
        <v>514488343.88</v>
      </c>
      <c r="T37" s="41">
        <v>524988106</v>
      </c>
      <c r="U37" s="41">
        <f t="shared" si="28"/>
        <v>10499762.120000001</v>
      </c>
      <c r="V37" s="41">
        <f t="shared" si="29"/>
        <v>514488343.88</v>
      </c>
      <c r="W37" s="41">
        <v>787482159</v>
      </c>
      <c r="X37" s="41">
        <f t="shared" si="30"/>
        <v>15749643.18</v>
      </c>
      <c r="Y37" s="41">
        <f t="shared" si="31"/>
        <v>771732515.82</v>
      </c>
      <c r="Z37" s="41">
        <f t="shared" si="36"/>
        <v>3937410794</v>
      </c>
      <c r="AA37" s="11">
        <f t="shared" si="37"/>
        <v>3937410794</v>
      </c>
      <c r="AB37" s="12">
        <f t="shared" si="32"/>
        <v>0.5</v>
      </c>
      <c r="AC37" s="54"/>
      <c r="AD37" s="66"/>
      <c r="AE37" s="67"/>
      <c r="AF37" s="67"/>
      <c r="AG37" s="67"/>
    </row>
    <row r="38" spans="1:33" ht="12.75" thickBot="1">
      <c r="A38" s="18" t="s">
        <v>46</v>
      </c>
      <c r="B38" s="23">
        <v>4455415766</v>
      </c>
      <c r="C38" s="19"/>
      <c r="D38" s="19"/>
      <c r="E38" s="19">
        <f t="shared" si="20"/>
        <v>4455415766</v>
      </c>
      <c r="F38" s="11">
        <f t="shared" si="33"/>
        <v>89108315.32000001</v>
      </c>
      <c r="G38" s="19">
        <f>267324946+29794435</f>
        <v>297119381</v>
      </c>
      <c r="H38" s="19">
        <f t="shared" si="21"/>
        <v>5942387.62</v>
      </c>
      <c r="I38" s="19">
        <f t="shared" si="22"/>
        <v>291176993.38</v>
      </c>
      <c r="J38" s="19">
        <v>554253721</v>
      </c>
      <c r="K38" s="11">
        <f t="shared" si="34"/>
        <v>11085074.42</v>
      </c>
      <c r="L38" s="11">
        <f t="shared" si="35"/>
        <v>543168646.58</v>
      </c>
      <c r="M38" s="42">
        <f t="shared" si="23"/>
        <v>851373102</v>
      </c>
      <c r="N38" s="42">
        <v>336737769</v>
      </c>
      <c r="O38" s="41">
        <f t="shared" si="24"/>
        <v>6734755.38</v>
      </c>
      <c r="P38" s="41">
        <f t="shared" si="25"/>
        <v>330003013.62</v>
      </c>
      <c r="Q38" s="41">
        <v>297027718</v>
      </c>
      <c r="R38" s="41">
        <f t="shared" si="26"/>
        <v>5940554.36</v>
      </c>
      <c r="S38" s="41">
        <f t="shared" si="27"/>
        <v>291087163.64</v>
      </c>
      <c r="T38" s="41">
        <v>297027718</v>
      </c>
      <c r="U38" s="41">
        <f t="shared" si="28"/>
        <v>5940554.36</v>
      </c>
      <c r="V38" s="41">
        <f t="shared" si="29"/>
        <v>291087163.64</v>
      </c>
      <c r="W38" s="41">
        <v>445541577</v>
      </c>
      <c r="X38" s="41">
        <f t="shared" si="30"/>
        <v>8910831.540000001</v>
      </c>
      <c r="Y38" s="41">
        <f t="shared" si="31"/>
        <v>436630745.46</v>
      </c>
      <c r="Z38" s="41">
        <f t="shared" si="36"/>
        <v>2227707884</v>
      </c>
      <c r="AA38" s="11">
        <f t="shared" si="37"/>
        <v>2227707882</v>
      </c>
      <c r="AB38" s="12">
        <f t="shared" si="32"/>
        <v>0.5000000002244459</v>
      </c>
      <c r="AC38" s="54"/>
      <c r="AD38" s="66"/>
      <c r="AE38" s="67"/>
      <c r="AF38" s="67"/>
      <c r="AG38" s="67"/>
    </row>
    <row r="39" spans="1:33" ht="13.5" thickBot="1" thickTop="1">
      <c r="A39" s="4" t="s">
        <v>4</v>
      </c>
      <c r="B39" s="5">
        <f>SUM(B22:B38)</f>
        <v>566441829134</v>
      </c>
      <c r="C39" s="6"/>
      <c r="D39" s="6"/>
      <c r="E39" s="6">
        <f aca="true" t="shared" si="38" ref="E39:AA39">SUM(E22:E38)</f>
        <v>566441829134</v>
      </c>
      <c r="F39" s="6">
        <f t="shared" si="38"/>
        <v>11328836582.679998</v>
      </c>
      <c r="G39" s="6">
        <f t="shared" si="38"/>
        <v>37774442205</v>
      </c>
      <c r="H39" s="6">
        <f t="shared" si="38"/>
        <v>755488844.0999999</v>
      </c>
      <c r="I39" s="6">
        <f t="shared" si="38"/>
        <v>37018953360.9</v>
      </c>
      <c r="J39" s="6">
        <f t="shared" si="38"/>
        <v>70465734868</v>
      </c>
      <c r="K39" s="6">
        <f t="shared" si="38"/>
        <v>1409314697.3600001</v>
      </c>
      <c r="L39" s="6">
        <f t="shared" si="38"/>
        <v>69056420170.64</v>
      </c>
      <c r="M39" s="6">
        <f t="shared" si="38"/>
        <v>108240177073</v>
      </c>
      <c r="N39" s="6">
        <f t="shared" si="38"/>
        <v>42810977362</v>
      </c>
      <c r="O39" s="6">
        <f t="shared" si="38"/>
        <v>856219547.2399998</v>
      </c>
      <c r="P39" s="6">
        <f t="shared" si="38"/>
        <v>41954757814.759995</v>
      </c>
      <c r="Q39" s="6">
        <f aca="true" t="shared" si="39" ref="Q39:V39">SUM(Q22:Q38)</f>
        <v>37762788609</v>
      </c>
      <c r="R39" s="6">
        <f t="shared" si="39"/>
        <v>755255772.18</v>
      </c>
      <c r="S39" s="6">
        <f t="shared" si="39"/>
        <v>37007532836.81999</v>
      </c>
      <c r="T39" s="6">
        <f t="shared" si="39"/>
        <v>37762788609</v>
      </c>
      <c r="U39" s="6">
        <f t="shared" si="39"/>
        <v>755255772.18</v>
      </c>
      <c r="V39" s="6">
        <f t="shared" si="39"/>
        <v>37007532836.81999</v>
      </c>
      <c r="W39" s="6">
        <f>SUM(W22:W38)</f>
        <v>56644182917</v>
      </c>
      <c r="X39" s="6">
        <f>SUM(X22:X38)</f>
        <v>1132883658.3400002</v>
      </c>
      <c r="Y39" s="6">
        <f>SUM(Y22:Y38)</f>
        <v>55511299258.659996</v>
      </c>
      <c r="Z39" s="6">
        <f t="shared" si="38"/>
        <v>283220914570</v>
      </c>
      <c r="AA39" s="6">
        <f t="shared" si="38"/>
        <v>283220914564</v>
      </c>
      <c r="AB39" s="12">
        <f t="shared" si="32"/>
        <v>0.5000000000052962</v>
      </c>
      <c r="AC39" s="55"/>
      <c r="AD39" s="72"/>
      <c r="AE39" s="69"/>
      <c r="AF39" s="69"/>
      <c r="AG39" s="69"/>
    </row>
    <row r="40" spans="1:33" ht="15" customHeight="1" thickBot="1" thickTop="1">
      <c r="A40" s="27" t="s">
        <v>51</v>
      </c>
      <c r="B40" s="28" t="s">
        <v>11</v>
      </c>
      <c r="C40" s="29">
        <f>SUM(C26:C39)</f>
        <v>0</v>
      </c>
      <c r="D40" s="30" t="s">
        <v>12</v>
      </c>
      <c r="E40" s="31" t="s">
        <v>9</v>
      </c>
      <c r="F40" s="31"/>
      <c r="G40" s="31" t="s">
        <v>55</v>
      </c>
      <c r="H40" s="31"/>
      <c r="I40" s="31"/>
      <c r="J40" s="31" t="s">
        <v>60</v>
      </c>
      <c r="K40" s="31"/>
      <c r="L40" s="31"/>
      <c r="M40" s="31" t="s">
        <v>3</v>
      </c>
      <c r="N40" s="31" t="s">
        <v>63</v>
      </c>
      <c r="O40" s="31"/>
      <c r="P40" s="31" t="s">
        <v>63</v>
      </c>
      <c r="Q40" s="31" t="s">
        <v>64</v>
      </c>
      <c r="R40" s="31"/>
      <c r="S40" s="31"/>
      <c r="T40" s="31" t="s">
        <v>66</v>
      </c>
      <c r="U40" s="31"/>
      <c r="V40" s="31"/>
      <c r="W40" s="31" t="s">
        <v>68</v>
      </c>
      <c r="X40" s="31"/>
      <c r="Y40" s="31"/>
      <c r="Z40" s="31" t="s">
        <v>70</v>
      </c>
      <c r="AA40" s="31" t="s">
        <v>54</v>
      </c>
      <c r="AB40" s="32" t="s">
        <v>48</v>
      </c>
      <c r="AC40" s="56"/>
      <c r="AD40" s="73"/>
      <c r="AE40" s="69"/>
      <c r="AF40" s="69"/>
      <c r="AG40" s="69"/>
    </row>
    <row r="41" spans="1:33" ht="12.75" thickTop="1">
      <c r="A41" s="7" t="s">
        <v>41</v>
      </c>
      <c r="B41" s="20">
        <v>1072244372</v>
      </c>
      <c r="C41" s="24"/>
      <c r="D41" s="24"/>
      <c r="E41" s="10">
        <f>B41-D41</f>
        <v>1072244372</v>
      </c>
      <c r="F41" s="10"/>
      <c r="G41" s="10"/>
      <c r="H41" s="10"/>
      <c r="I41" s="10"/>
      <c r="J41" s="33">
        <v>136562238</v>
      </c>
      <c r="K41" s="33"/>
      <c r="L41" s="33"/>
      <c r="M41" s="33"/>
      <c r="N41" s="33">
        <v>52000000</v>
      </c>
      <c r="O41" s="33"/>
      <c r="P41" s="33"/>
      <c r="Q41" s="33">
        <v>15000000</v>
      </c>
      <c r="R41" s="33"/>
      <c r="S41" s="33"/>
      <c r="T41" s="33">
        <v>139949930</v>
      </c>
      <c r="U41" s="33"/>
      <c r="V41" s="33"/>
      <c r="W41" s="33">
        <v>52000000</v>
      </c>
      <c r="X41" s="33"/>
      <c r="Y41" s="33"/>
      <c r="Z41" s="33">
        <f>SUM(G41:W41)</f>
        <v>395512168</v>
      </c>
      <c r="AA41" s="14">
        <f>E41-Z41</f>
        <v>676732204</v>
      </c>
      <c r="AB41" s="13">
        <f>Z41/E41</f>
        <v>0.3688638320966631</v>
      </c>
      <c r="AC41" s="54"/>
      <c r="AD41" s="54"/>
      <c r="AE41" s="67"/>
      <c r="AF41" s="67"/>
      <c r="AG41" s="74"/>
    </row>
    <row r="42" spans="1:33" ht="12.75" thickBot="1">
      <c r="A42" s="15" t="s">
        <v>42</v>
      </c>
      <c r="B42" s="25">
        <v>58955546</v>
      </c>
      <c r="C42" s="26"/>
      <c r="D42" s="26"/>
      <c r="E42" s="16">
        <f>B42-D42</f>
        <v>58955546</v>
      </c>
      <c r="F42" s="16"/>
      <c r="G42" s="16"/>
      <c r="H42" s="16"/>
      <c r="I42" s="16"/>
      <c r="J42" s="40"/>
      <c r="K42" s="40"/>
      <c r="L42" s="40"/>
      <c r="M42" s="40"/>
      <c r="N42" s="40">
        <v>58955546</v>
      </c>
      <c r="O42" s="40"/>
      <c r="P42" s="40">
        <v>58955546</v>
      </c>
      <c r="Q42" s="40"/>
      <c r="R42" s="40"/>
      <c r="S42" s="40"/>
      <c r="T42" s="40"/>
      <c r="U42" s="40"/>
      <c r="V42" s="40"/>
      <c r="W42" s="40"/>
      <c r="X42" s="40"/>
      <c r="Y42" s="40"/>
      <c r="Z42" s="40">
        <f>B42-N42</f>
        <v>0</v>
      </c>
      <c r="AA42" s="17">
        <f>E42-N42</f>
        <v>0</v>
      </c>
      <c r="AB42" s="13">
        <f>E42/P42</f>
        <v>1</v>
      </c>
      <c r="AC42" s="57"/>
      <c r="AD42" s="57"/>
      <c r="AE42" s="67"/>
      <c r="AF42" s="67"/>
      <c r="AG42" s="74"/>
    </row>
    <row r="43" spans="1:33" ht="13.5" thickBot="1" thickTop="1">
      <c r="A43" s="4" t="s">
        <v>43</v>
      </c>
      <c r="B43" s="5">
        <f>SUM(B41:B42)</f>
        <v>1131199918</v>
      </c>
      <c r="C43" s="6"/>
      <c r="D43" s="6"/>
      <c r="E43" s="5">
        <f>SUM(E41:E42)</f>
        <v>1131199918</v>
      </c>
      <c r="F43" s="5"/>
      <c r="G43" s="5"/>
      <c r="H43" s="5"/>
      <c r="I43" s="5"/>
      <c r="J43" s="5">
        <f>SUM(J41)</f>
        <v>136562238</v>
      </c>
      <c r="K43" s="5"/>
      <c r="L43" s="5"/>
      <c r="M43" s="5"/>
      <c r="N43" s="5">
        <f>SUM(N41:N42)</f>
        <v>110955546</v>
      </c>
      <c r="O43" s="5"/>
      <c r="P43" s="5"/>
      <c r="Q43" s="5">
        <f>Q41</f>
        <v>15000000</v>
      </c>
      <c r="R43" s="5"/>
      <c r="S43" s="5"/>
      <c r="T43" s="5">
        <f>SUM(T41)</f>
        <v>139949930</v>
      </c>
      <c r="U43" s="5"/>
      <c r="V43" s="5"/>
      <c r="W43" s="5">
        <f>SUM(W41)</f>
        <v>52000000</v>
      </c>
      <c r="X43" s="5"/>
      <c r="Y43" s="5"/>
      <c r="Z43" s="5"/>
      <c r="AA43" s="5">
        <f>SUM(AA41:AA42)</f>
        <v>676732204</v>
      </c>
      <c r="AB43" s="59"/>
      <c r="AC43" s="57"/>
      <c r="AD43" s="57"/>
      <c r="AE43" s="67"/>
      <c r="AF43" s="67"/>
      <c r="AG43" s="74"/>
    </row>
    <row r="44" spans="1:33" ht="13.5" thickBot="1" thickTop="1">
      <c r="A44" s="5" t="s">
        <v>5</v>
      </c>
      <c r="B44" s="5">
        <f>SUM(B43+B39+B20)</f>
        <v>1353605549910</v>
      </c>
      <c r="C44" s="6"/>
      <c r="D44" s="6">
        <f>SUM(D20)</f>
        <v>1687913166</v>
      </c>
      <c r="E44" s="5">
        <f>SUM(E43+E39+E20)</f>
        <v>1351917636744</v>
      </c>
      <c r="F44" s="5">
        <f aca="true" t="shared" si="40" ref="F44:M44">SUM(F39+F20)</f>
        <v>27015728736.52</v>
      </c>
      <c r="G44" s="5">
        <f t="shared" si="40"/>
        <v>90080186208</v>
      </c>
      <c r="H44" s="5">
        <f t="shared" si="40"/>
        <v>1801603724.1599998</v>
      </c>
      <c r="I44" s="5">
        <f t="shared" si="40"/>
        <v>88278582483.84</v>
      </c>
      <c r="J44" s="5">
        <f>SUM(J43+J39+J20)</f>
        <v>168174766302</v>
      </c>
      <c r="K44" s="5">
        <f t="shared" si="40"/>
        <v>3360764081.2800007</v>
      </c>
      <c r="L44" s="5">
        <f t="shared" si="40"/>
        <v>164677439982.71997</v>
      </c>
      <c r="M44" s="5">
        <f t="shared" si="40"/>
        <v>258118390272</v>
      </c>
      <c r="N44" s="5">
        <f>SUM(N43+N39+N20)</f>
        <v>102202281760</v>
      </c>
      <c r="O44" s="5">
        <f>SUM(O39+O20)</f>
        <v>2041826524.2799995</v>
      </c>
      <c r="P44" s="5">
        <f>SUM(P39+P20)</f>
        <v>100049499689.71999</v>
      </c>
      <c r="Q44" s="5">
        <f>SUM(Q43+Q39+Q20)</f>
        <v>73806880874</v>
      </c>
      <c r="R44" s="5">
        <f>SUM(R39+R20)</f>
        <v>1475837617.48</v>
      </c>
      <c r="S44" s="5">
        <f>SUM(S39+S20)</f>
        <v>72316043256.51999</v>
      </c>
      <c r="T44" s="5">
        <f>SUM(T43+T39+T20)</f>
        <v>90303153238</v>
      </c>
      <c r="U44" s="5">
        <f>SUM(U39+U20)</f>
        <v>1803264066.1599998</v>
      </c>
      <c r="V44" s="5">
        <f>SUM(V39+V20)</f>
        <v>88359939241.84</v>
      </c>
      <c r="W44" s="5">
        <f>SUM(W43+W39+W20)</f>
        <v>143451721318</v>
      </c>
      <c r="X44" s="5">
        <f>SUM(X39+X20)</f>
        <v>2867994426.3599997</v>
      </c>
      <c r="Y44" s="5">
        <f>SUM(Y39+Y20)</f>
        <v>140531726891.63998</v>
      </c>
      <c r="Z44" s="5">
        <f>SUM(Z39+Z20)</f>
        <v>667564521986</v>
      </c>
      <c r="AA44" s="5">
        <f>SUM(AA43+AA39+AA20)</f>
        <v>683898647044</v>
      </c>
      <c r="AB44" s="58"/>
      <c r="AC44" s="57"/>
      <c r="AD44" s="57"/>
      <c r="AE44" s="67"/>
      <c r="AF44" s="67"/>
      <c r="AG44" s="74"/>
    </row>
    <row r="45" spans="30:33" ht="12.75" thickTop="1">
      <c r="AD45" s="74"/>
      <c r="AE45" s="67"/>
      <c r="AF45" s="67"/>
      <c r="AG45" s="74"/>
    </row>
    <row r="46" spans="2:33" ht="12">
      <c r="B46" s="60"/>
      <c r="AD46" s="74"/>
      <c r="AE46" s="67"/>
      <c r="AF46" s="67"/>
      <c r="AG46" s="74"/>
    </row>
    <row r="47" spans="2:33" ht="12">
      <c r="B47" s="60"/>
      <c r="AD47" s="74"/>
      <c r="AE47" s="67"/>
      <c r="AF47" s="67"/>
      <c r="AG47" s="74"/>
    </row>
    <row r="48" spans="30:33" ht="12">
      <c r="AD48" s="74"/>
      <c r="AE48" s="67"/>
      <c r="AF48" s="67"/>
      <c r="AG48" s="74"/>
    </row>
    <row r="49" spans="5:33" ht="12">
      <c r="E49" s="61"/>
      <c r="AD49" s="74"/>
      <c r="AE49" s="67"/>
      <c r="AF49" s="67"/>
      <c r="AG49" s="74"/>
    </row>
    <row r="50" spans="30:33" ht="12">
      <c r="AD50" s="74"/>
      <c r="AE50" s="67"/>
      <c r="AF50" s="67"/>
      <c r="AG50" s="74"/>
    </row>
    <row r="51" spans="30:33" ht="12">
      <c r="AD51" s="74"/>
      <c r="AE51" s="67"/>
      <c r="AF51" s="67"/>
      <c r="AG51" s="74"/>
    </row>
    <row r="52" spans="30:33" ht="12">
      <c r="AD52" s="74"/>
      <c r="AE52" s="67"/>
      <c r="AF52" s="67"/>
      <c r="AG52" s="74"/>
    </row>
    <row r="53" spans="30:33" ht="12">
      <c r="AD53" s="74"/>
      <c r="AE53" s="67"/>
      <c r="AF53" s="67"/>
      <c r="AG53" s="74"/>
    </row>
    <row r="54" spans="30:33" ht="12">
      <c r="AD54" s="74"/>
      <c r="AE54" s="67"/>
      <c r="AF54" s="67"/>
      <c r="AG54" s="74"/>
    </row>
    <row r="55" spans="30:33" ht="12">
      <c r="AD55" s="74"/>
      <c r="AE55" s="67"/>
      <c r="AF55" s="67"/>
      <c r="AG55" s="74"/>
    </row>
    <row r="56" spans="30:33" ht="12">
      <c r="AD56" s="74"/>
      <c r="AE56" s="67"/>
      <c r="AF56" s="67"/>
      <c r="AG56" s="74"/>
    </row>
    <row r="57" spans="30:33" ht="12">
      <c r="AD57" s="74"/>
      <c r="AE57" s="67"/>
      <c r="AF57" s="67"/>
      <c r="AG57" s="74"/>
    </row>
    <row r="58" spans="30:33" ht="12">
      <c r="AD58" s="74"/>
      <c r="AE58" s="67"/>
      <c r="AF58" s="67"/>
      <c r="AG58" s="74"/>
    </row>
    <row r="59" spans="30:33" ht="12">
      <c r="AD59" s="74"/>
      <c r="AE59" s="67"/>
      <c r="AF59" s="67"/>
      <c r="AG59" s="74"/>
    </row>
    <row r="60" spans="30:33" ht="12">
      <c r="AD60" s="74"/>
      <c r="AE60" s="67"/>
      <c r="AF60" s="67"/>
      <c r="AG60" s="74"/>
    </row>
    <row r="61" spans="30:33" ht="12">
      <c r="AD61" s="74"/>
      <c r="AE61" s="67"/>
      <c r="AF61" s="67"/>
      <c r="AG61" s="74"/>
    </row>
    <row r="62" spans="30:33" ht="12">
      <c r="AD62" s="74"/>
      <c r="AE62" s="67"/>
      <c r="AF62" s="67"/>
      <c r="AG62" s="74"/>
    </row>
    <row r="63" spans="30:33" ht="12">
      <c r="AD63" s="74"/>
      <c r="AE63" s="67"/>
      <c r="AF63" s="67"/>
      <c r="AG63" s="74"/>
    </row>
    <row r="64" spans="30:33" ht="12">
      <c r="AD64" s="74"/>
      <c r="AE64" s="67"/>
      <c r="AF64" s="67"/>
      <c r="AG64" s="74"/>
    </row>
    <row r="65" spans="30:33" ht="12">
      <c r="AD65" s="74"/>
      <c r="AE65" s="67"/>
      <c r="AF65" s="67"/>
      <c r="AG65" s="74"/>
    </row>
    <row r="66" spans="30:33" ht="12">
      <c r="AD66" s="74"/>
      <c r="AE66" s="67"/>
      <c r="AF66" s="67"/>
      <c r="AG66" s="74"/>
    </row>
    <row r="67" spans="30:33" ht="12">
      <c r="AD67" s="74"/>
      <c r="AE67" s="67"/>
      <c r="AF67" s="67"/>
      <c r="AG67" s="74"/>
    </row>
    <row r="68" spans="30:33" ht="12">
      <c r="AD68" s="74"/>
      <c r="AE68" s="67"/>
      <c r="AF68" s="67"/>
      <c r="AG68" s="74"/>
    </row>
    <row r="69" spans="30:33" ht="12">
      <c r="AD69" s="74"/>
      <c r="AE69" s="67"/>
      <c r="AF69" s="67"/>
      <c r="AG69" s="74"/>
    </row>
    <row r="70" spans="30:33" ht="12">
      <c r="AD70" s="74"/>
      <c r="AE70" s="67"/>
      <c r="AF70" s="67"/>
      <c r="AG70" s="74"/>
    </row>
    <row r="71" spans="30:33" ht="12">
      <c r="AD71" s="74"/>
      <c r="AE71" s="67"/>
      <c r="AF71" s="67"/>
      <c r="AG71" s="74"/>
    </row>
    <row r="72" spans="30:33" ht="12">
      <c r="AD72" s="74"/>
      <c r="AE72" s="67"/>
      <c r="AF72" s="67"/>
      <c r="AG72" s="74"/>
    </row>
    <row r="73" spans="30:33" ht="12">
      <c r="AD73" s="74"/>
      <c r="AE73" s="67"/>
      <c r="AF73" s="67"/>
      <c r="AG73" s="74"/>
    </row>
    <row r="74" spans="30:33" ht="12">
      <c r="AD74" s="74"/>
      <c r="AE74" s="67"/>
      <c r="AF74" s="67"/>
      <c r="AG74" s="74"/>
    </row>
    <row r="75" spans="30:33" ht="12">
      <c r="AD75" s="74"/>
      <c r="AE75" s="67"/>
      <c r="AF75" s="67"/>
      <c r="AG75" s="74"/>
    </row>
    <row r="76" spans="30:33" ht="12">
      <c r="AD76" s="74"/>
      <c r="AE76" s="67"/>
      <c r="AF76" s="67"/>
      <c r="AG76" s="74"/>
    </row>
    <row r="77" spans="30:33" ht="12">
      <c r="AD77" s="74"/>
      <c r="AE77" s="67"/>
      <c r="AF77" s="67"/>
      <c r="AG77" s="74"/>
    </row>
    <row r="78" spans="30:33" ht="12">
      <c r="AD78" s="74"/>
      <c r="AE78" s="67"/>
      <c r="AF78" s="67"/>
      <c r="AG78" s="74"/>
    </row>
    <row r="79" spans="30:33" ht="12">
      <c r="AD79" s="74"/>
      <c r="AE79" s="67"/>
      <c r="AF79" s="67"/>
      <c r="AG79" s="74"/>
    </row>
    <row r="80" spans="30:33" ht="12">
      <c r="AD80" s="74"/>
      <c r="AE80" s="67"/>
      <c r="AF80" s="67"/>
      <c r="AG80" s="74"/>
    </row>
    <row r="81" spans="30:33" ht="12">
      <c r="AD81" s="74"/>
      <c r="AE81" s="67"/>
      <c r="AF81" s="67"/>
      <c r="AG81" s="74"/>
    </row>
    <row r="82" spans="30:33" ht="12">
      <c r="AD82" s="74"/>
      <c r="AE82" s="67"/>
      <c r="AF82" s="67"/>
      <c r="AG82" s="74"/>
    </row>
    <row r="83" spans="30:33" ht="12">
      <c r="AD83" s="74"/>
      <c r="AE83" s="67"/>
      <c r="AF83" s="67"/>
      <c r="AG83" s="74"/>
    </row>
    <row r="84" spans="30:33" ht="12">
      <c r="AD84" s="74"/>
      <c r="AE84" s="67"/>
      <c r="AF84" s="67"/>
      <c r="AG84" s="74"/>
    </row>
    <row r="85" spans="30:33" ht="12">
      <c r="AD85" s="74"/>
      <c r="AE85" s="67"/>
      <c r="AF85" s="67"/>
      <c r="AG85" s="74"/>
    </row>
    <row r="86" spans="30:33" ht="12">
      <c r="AD86" s="74"/>
      <c r="AE86" s="67"/>
      <c r="AF86" s="67"/>
      <c r="AG86" s="74"/>
    </row>
    <row r="87" spans="30:33" ht="12">
      <c r="AD87" s="74"/>
      <c r="AE87" s="67"/>
      <c r="AF87" s="67"/>
      <c r="AG87" s="74"/>
    </row>
    <row r="88" spans="30:33" ht="12">
      <c r="AD88" s="74"/>
      <c r="AE88" s="67"/>
      <c r="AF88" s="67"/>
      <c r="AG88" s="74"/>
    </row>
    <row r="89" spans="30:33" ht="12">
      <c r="AD89" s="74"/>
      <c r="AE89" s="67"/>
      <c r="AF89" s="67"/>
      <c r="AG89" s="74"/>
    </row>
    <row r="90" spans="30:33" ht="12">
      <c r="AD90" s="74"/>
      <c r="AE90" s="67"/>
      <c r="AF90" s="67"/>
      <c r="AG90" s="74"/>
    </row>
    <row r="91" spans="30:33" ht="12">
      <c r="AD91" s="74"/>
      <c r="AE91" s="67"/>
      <c r="AF91" s="67"/>
      <c r="AG91" s="74"/>
    </row>
    <row r="92" spans="30:33" ht="12">
      <c r="AD92" s="74"/>
      <c r="AE92" s="67"/>
      <c r="AF92" s="67"/>
      <c r="AG92" s="74"/>
    </row>
    <row r="93" spans="30:33" ht="12">
      <c r="AD93" s="74"/>
      <c r="AE93" s="67"/>
      <c r="AF93" s="67"/>
      <c r="AG93" s="74"/>
    </row>
    <row r="94" spans="30:33" ht="12">
      <c r="AD94" s="74"/>
      <c r="AE94" s="67"/>
      <c r="AF94" s="67"/>
      <c r="AG94" s="74"/>
    </row>
    <row r="95" spans="30:33" ht="12">
      <c r="AD95" s="74"/>
      <c r="AE95" s="67"/>
      <c r="AF95" s="67"/>
      <c r="AG95" s="74"/>
    </row>
    <row r="96" spans="30:33" ht="12">
      <c r="AD96" s="74"/>
      <c r="AE96" s="67"/>
      <c r="AF96" s="67"/>
      <c r="AG96" s="74"/>
    </row>
    <row r="97" spans="30:33" ht="12">
      <c r="AD97" s="74"/>
      <c r="AE97" s="67"/>
      <c r="AF97" s="67"/>
      <c r="AG97" s="74"/>
    </row>
    <row r="98" spans="30:33" ht="12">
      <c r="AD98" s="74"/>
      <c r="AE98" s="67"/>
      <c r="AF98" s="67"/>
      <c r="AG98" s="74"/>
    </row>
    <row r="99" spans="30:33" ht="12">
      <c r="AD99" s="74"/>
      <c r="AE99" s="67"/>
      <c r="AF99" s="67"/>
      <c r="AG99" s="74"/>
    </row>
    <row r="100" spans="30:33" ht="12">
      <c r="AD100" s="74"/>
      <c r="AE100" s="67"/>
      <c r="AF100" s="67"/>
      <c r="AG100" s="74"/>
    </row>
    <row r="101" spans="30:33" ht="12">
      <c r="AD101" s="74"/>
      <c r="AE101" s="67"/>
      <c r="AF101" s="67"/>
      <c r="AG101" s="74"/>
    </row>
    <row r="102" spans="30:33" ht="12">
      <c r="AD102" s="74"/>
      <c r="AE102" s="67"/>
      <c r="AF102" s="67"/>
      <c r="AG102" s="74"/>
    </row>
    <row r="103" spans="30:33" ht="12">
      <c r="AD103" s="74"/>
      <c r="AE103" s="67"/>
      <c r="AF103" s="67"/>
      <c r="AG103" s="74"/>
    </row>
    <row r="104" spans="30:33" ht="12">
      <c r="AD104" s="74"/>
      <c r="AE104" s="67"/>
      <c r="AF104" s="67"/>
      <c r="AG104" s="74"/>
    </row>
    <row r="105" spans="30:33" ht="12">
      <c r="AD105" s="74"/>
      <c r="AE105" s="67"/>
      <c r="AF105" s="67"/>
      <c r="AG105" s="74"/>
    </row>
    <row r="106" spans="30:33" ht="12">
      <c r="AD106" s="74"/>
      <c r="AE106" s="67"/>
      <c r="AF106" s="67"/>
      <c r="AG106" s="74"/>
    </row>
    <row r="107" spans="30:33" ht="12">
      <c r="AD107" s="74"/>
      <c r="AE107" s="67"/>
      <c r="AF107" s="67"/>
      <c r="AG107" s="74"/>
    </row>
    <row r="108" spans="30:33" ht="12">
      <c r="AD108" s="74"/>
      <c r="AE108" s="67"/>
      <c r="AF108" s="67"/>
      <c r="AG108" s="74"/>
    </row>
    <row r="109" spans="30:33" ht="12">
      <c r="AD109" s="74"/>
      <c r="AE109" s="67"/>
      <c r="AF109" s="67"/>
      <c r="AG109" s="74"/>
    </row>
    <row r="110" spans="30:33" ht="12">
      <c r="AD110" s="74"/>
      <c r="AE110" s="67"/>
      <c r="AF110" s="67"/>
      <c r="AG110" s="74"/>
    </row>
    <row r="111" spans="30:33" ht="12">
      <c r="AD111" s="74"/>
      <c r="AE111" s="67"/>
      <c r="AF111" s="67"/>
      <c r="AG111" s="74"/>
    </row>
    <row r="112" spans="30:33" ht="12">
      <c r="AD112" s="74"/>
      <c r="AE112" s="67"/>
      <c r="AF112" s="67"/>
      <c r="AG112" s="74"/>
    </row>
    <row r="113" spans="30:33" ht="12">
      <c r="AD113" s="74"/>
      <c r="AE113" s="67"/>
      <c r="AF113" s="67"/>
      <c r="AG113" s="74"/>
    </row>
    <row r="114" spans="30:33" ht="12">
      <c r="AD114" s="74"/>
      <c r="AE114" s="67"/>
      <c r="AF114" s="67"/>
      <c r="AG114" s="74"/>
    </row>
    <row r="115" spans="30:33" ht="12">
      <c r="AD115" s="74"/>
      <c r="AE115" s="67"/>
      <c r="AF115" s="67"/>
      <c r="AG115" s="74"/>
    </row>
    <row r="116" spans="30:33" ht="12">
      <c r="AD116" s="74"/>
      <c r="AE116" s="67"/>
      <c r="AF116" s="67"/>
      <c r="AG116" s="74"/>
    </row>
    <row r="117" spans="30:33" ht="12">
      <c r="AD117" s="74"/>
      <c r="AE117" s="67"/>
      <c r="AF117" s="67"/>
      <c r="AG117" s="74"/>
    </row>
    <row r="118" spans="30:33" ht="12">
      <c r="AD118" s="74"/>
      <c r="AE118" s="67"/>
      <c r="AF118" s="67"/>
      <c r="AG118" s="74"/>
    </row>
    <row r="119" spans="30:33" ht="12">
      <c r="AD119" s="74"/>
      <c r="AE119" s="67"/>
      <c r="AF119" s="67"/>
      <c r="AG119" s="74"/>
    </row>
    <row r="120" spans="30:33" ht="12">
      <c r="AD120" s="74"/>
      <c r="AE120" s="67"/>
      <c r="AF120" s="67"/>
      <c r="AG120" s="74"/>
    </row>
    <row r="121" spans="30:33" ht="12">
      <c r="AD121" s="74"/>
      <c r="AE121" s="67"/>
      <c r="AF121" s="67"/>
      <c r="AG121" s="74"/>
    </row>
    <row r="122" spans="30:33" ht="12">
      <c r="AD122" s="74"/>
      <c r="AE122" s="67"/>
      <c r="AF122" s="67"/>
      <c r="AG122" s="74"/>
    </row>
    <row r="123" spans="30:33" ht="12">
      <c r="AD123" s="74"/>
      <c r="AE123" s="67"/>
      <c r="AF123" s="67"/>
      <c r="AG123" s="74"/>
    </row>
    <row r="124" spans="30:33" ht="12">
      <c r="AD124" s="74"/>
      <c r="AE124" s="67"/>
      <c r="AF124" s="67"/>
      <c r="AG124" s="74"/>
    </row>
    <row r="125" spans="30:33" ht="12">
      <c r="AD125" s="74"/>
      <c r="AE125" s="67"/>
      <c r="AF125" s="67"/>
      <c r="AG125" s="74"/>
    </row>
    <row r="126" spans="30:33" ht="12">
      <c r="AD126" s="74"/>
      <c r="AE126" s="67"/>
      <c r="AF126" s="67"/>
      <c r="AG126" s="74"/>
    </row>
    <row r="127" spans="30:33" ht="12">
      <c r="AD127" s="74"/>
      <c r="AE127" s="67"/>
      <c r="AF127" s="67"/>
      <c r="AG127" s="74"/>
    </row>
    <row r="128" spans="30:33" ht="12">
      <c r="AD128" s="74"/>
      <c r="AE128" s="67"/>
      <c r="AF128" s="67"/>
      <c r="AG128" s="74"/>
    </row>
    <row r="129" spans="30:33" ht="12">
      <c r="AD129" s="74"/>
      <c r="AE129" s="67"/>
      <c r="AF129" s="67"/>
      <c r="AG129" s="74"/>
    </row>
    <row r="130" spans="30:33" ht="12">
      <c r="AD130" s="74"/>
      <c r="AE130" s="67"/>
      <c r="AF130" s="67"/>
      <c r="AG130" s="74"/>
    </row>
    <row r="131" spans="30:33" ht="12">
      <c r="AD131" s="74"/>
      <c r="AE131" s="67"/>
      <c r="AF131" s="67"/>
      <c r="AG131" s="74"/>
    </row>
    <row r="132" spans="30:33" ht="12">
      <c r="AD132" s="74"/>
      <c r="AE132" s="67"/>
      <c r="AF132" s="67"/>
      <c r="AG132" s="74"/>
    </row>
    <row r="133" spans="30:33" ht="12">
      <c r="AD133" s="74"/>
      <c r="AE133" s="67"/>
      <c r="AF133" s="67"/>
      <c r="AG133" s="74"/>
    </row>
    <row r="134" spans="30:33" ht="12">
      <c r="AD134" s="74"/>
      <c r="AE134" s="67"/>
      <c r="AF134" s="67"/>
      <c r="AG134" s="74"/>
    </row>
    <row r="135" spans="30:33" ht="12">
      <c r="AD135" s="74"/>
      <c r="AE135" s="67"/>
      <c r="AF135" s="67"/>
      <c r="AG135" s="74"/>
    </row>
    <row r="136" spans="30:33" ht="12">
      <c r="AD136" s="74"/>
      <c r="AE136" s="67"/>
      <c r="AF136" s="67"/>
      <c r="AG136" s="74"/>
    </row>
    <row r="137" spans="30:33" ht="12">
      <c r="AD137" s="74"/>
      <c r="AE137" s="67"/>
      <c r="AF137" s="67"/>
      <c r="AG137" s="74"/>
    </row>
    <row r="138" spans="30:33" ht="12">
      <c r="AD138" s="74"/>
      <c r="AE138" s="67"/>
      <c r="AF138" s="67"/>
      <c r="AG138" s="74"/>
    </row>
    <row r="139" spans="30:33" ht="12">
      <c r="AD139" s="74"/>
      <c r="AE139" s="67"/>
      <c r="AF139" s="67"/>
      <c r="AG139" s="74"/>
    </row>
    <row r="140" spans="30:33" ht="12">
      <c r="AD140" s="74"/>
      <c r="AE140" s="67"/>
      <c r="AF140" s="67"/>
      <c r="AG140" s="74"/>
    </row>
    <row r="141" spans="30:33" ht="12">
      <c r="AD141" s="74"/>
      <c r="AE141" s="67"/>
      <c r="AF141" s="67"/>
      <c r="AG141" s="74"/>
    </row>
    <row r="142" spans="30:33" ht="12">
      <c r="AD142" s="74"/>
      <c r="AE142" s="67"/>
      <c r="AF142" s="67"/>
      <c r="AG142" s="74"/>
    </row>
    <row r="143" spans="30:33" ht="12">
      <c r="AD143" s="74"/>
      <c r="AE143" s="67"/>
      <c r="AF143" s="67"/>
      <c r="AG143" s="74"/>
    </row>
    <row r="144" spans="30:33" ht="12">
      <c r="AD144" s="74"/>
      <c r="AE144" s="67"/>
      <c r="AF144" s="67"/>
      <c r="AG144" s="74"/>
    </row>
    <row r="145" spans="30:33" ht="12">
      <c r="AD145" s="74"/>
      <c r="AE145" s="67"/>
      <c r="AF145" s="67"/>
      <c r="AG145" s="74"/>
    </row>
    <row r="146" spans="30:33" ht="12">
      <c r="AD146" s="74"/>
      <c r="AE146" s="67"/>
      <c r="AF146" s="67"/>
      <c r="AG146" s="74"/>
    </row>
    <row r="147" spans="30:33" ht="12">
      <c r="AD147" s="74"/>
      <c r="AE147" s="67"/>
      <c r="AF147" s="67"/>
      <c r="AG147" s="74"/>
    </row>
    <row r="148" spans="30:33" ht="12">
      <c r="AD148" s="74"/>
      <c r="AE148" s="67"/>
      <c r="AF148" s="67"/>
      <c r="AG148" s="74"/>
    </row>
    <row r="149" spans="30:33" ht="12">
      <c r="AD149" s="74"/>
      <c r="AE149" s="67"/>
      <c r="AF149" s="67"/>
      <c r="AG149" s="74"/>
    </row>
    <row r="150" spans="30:33" ht="12">
      <c r="AD150" s="74"/>
      <c r="AE150" s="67"/>
      <c r="AF150" s="67"/>
      <c r="AG150" s="74"/>
    </row>
    <row r="151" spans="30:33" ht="12">
      <c r="AD151" s="74"/>
      <c r="AE151" s="67"/>
      <c r="AF151" s="67"/>
      <c r="AG151" s="74"/>
    </row>
    <row r="152" spans="30:33" ht="12">
      <c r="AD152" s="74"/>
      <c r="AE152" s="67"/>
      <c r="AF152" s="67"/>
      <c r="AG152" s="74"/>
    </row>
    <row r="153" spans="30:33" ht="12">
      <c r="AD153" s="74"/>
      <c r="AE153" s="67"/>
      <c r="AF153" s="67"/>
      <c r="AG153" s="74"/>
    </row>
    <row r="154" spans="30:33" ht="12">
      <c r="AD154" s="74"/>
      <c r="AE154" s="67"/>
      <c r="AF154" s="67"/>
      <c r="AG154" s="74"/>
    </row>
    <row r="155" spans="30:33" ht="12">
      <c r="AD155" s="74"/>
      <c r="AE155" s="67"/>
      <c r="AF155" s="67"/>
      <c r="AG155" s="74"/>
    </row>
    <row r="156" spans="30:33" ht="12">
      <c r="AD156" s="74"/>
      <c r="AE156" s="67"/>
      <c r="AF156" s="67"/>
      <c r="AG156" s="74"/>
    </row>
    <row r="157" spans="30:33" ht="12">
      <c r="AD157" s="74"/>
      <c r="AE157" s="67"/>
      <c r="AF157" s="67"/>
      <c r="AG157" s="74"/>
    </row>
    <row r="158" spans="30:33" ht="12">
      <c r="AD158" s="74"/>
      <c r="AE158" s="67"/>
      <c r="AF158" s="67"/>
      <c r="AG158" s="74"/>
    </row>
    <row r="159" spans="30:33" ht="12">
      <c r="AD159" s="74"/>
      <c r="AE159" s="67"/>
      <c r="AF159" s="67"/>
      <c r="AG159" s="74"/>
    </row>
    <row r="160" spans="30:33" ht="12">
      <c r="AD160" s="74"/>
      <c r="AE160" s="67"/>
      <c r="AF160" s="67"/>
      <c r="AG160" s="74"/>
    </row>
    <row r="161" spans="30:33" ht="12">
      <c r="AD161" s="74"/>
      <c r="AE161" s="67"/>
      <c r="AF161" s="67"/>
      <c r="AG161" s="74"/>
    </row>
    <row r="162" spans="30:33" ht="12">
      <c r="AD162" s="74"/>
      <c r="AE162" s="67"/>
      <c r="AF162" s="67"/>
      <c r="AG162" s="74"/>
    </row>
    <row r="163" spans="30:33" ht="12">
      <c r="AD163" s="74"/>
      <c r="AE163" s="67"/>
      <c r="AF163" s="67"/>
      <c r="AG163" s="74"/>
    </row>
    <row r="164" spans="30:33" ht="12">
      <c r="AD164" s="74"/>
      <c r="AE164" s="67"/>
      <c r="AF164" s="67"/>
      <c r="AG164" s="74"/>
    </row>
    <row r="165" spans="30:33" ht="12">
      <c r="AD165" s="74"/>
      <c r="AE165" s="67"/>
      <c r="AF165" s="67"/>
      <c r="AG165" s="74"/>
    </row>
    <row r="166" spans="30:33" ht="12">
      <c r="AD166" s="74"/>
      <c r="AE166" s="67"/>
      <c r="AF166" s="67"/>
      <c r="AG166" s="74"/>
    </row>
    <row r="167" spans="30:33" ht="12">
      <c r="AD167" s="74"/>
      <c r="AE167" s="67"/>
      <c r="AF167" s="67"/>
      <c r="AG167" s="74"/>
    </row>
    <row r="168" spans="30:33" ht="12">
      <c r="AD168" s="74"/>
      <c r="AE168" s="67"/>
      <c r="AF168" s="67"/>
      <c r="AG168" s="74"/>
    </row>
    <row r="169" spans="30:33" ht="12">
      <c r="AD169" s="74"/>
      <c r="AE169" s="67"/>
      <c r="AF169" s="67"/>
      <c r="AG169" s="74"/>
    </row>
    <row r="170" spans="30:33" ht="12">
      <c r="AD170" s="74"/>
      <c r="AE170" s="67"/>
      <c r="AF170" s="67"/>
      <c r="AG170" s="74"/>
    </row>
    <row r="171" spans="30:33" ht="12">
      <c r="AD171" s="74"/>
      <c r="AE171" s="67"/>
      <c r="AF171" s="67"/>
      <c r="AG171" s="74"/>
    </row>
    <row r="172" spans="30:33" ht="12">
      <c r="AD172" s="74"/>
      <c r="AE172" s="67"/>
      <c r="AF172" s="67"/>
      <c r="AG172" s="74"/>
    </row>
    <row r="173" spans="30:33" ht="12">
      <c r="AD173" s="74"/>
      <c r="AE173" s="67"/>
      <c r="AF173" s="67"/>
      <c r="AG173" s="74"/>
    </row>
    <row r="174" spans="30:33" ht="12">
      <c r="AD174" s="74"/>
      <c r="AE174" s="67"/>
      <c r="AF174" s="67"/>
      <c r="AG174" s="74"/>
    </row>
    <row r="175" spans="30:33" ht="12">
      <c r="AD175" s="74"/>
      <c r="AE175" s="67"/>
      <c r="AF175" s="67"/>
      <c r="AG175" s="74"/>
    </row>
    <row r="176" spans="30:33" ht="12">
      <c r="AD176" s="74"/>
      <c r="AE176" s="67"/>
      <c r="AF176" s="67"/>
      <c r="AG176" s="74"/>
    </row>
    <row r="177" spans="30:33" ht="12">
      <c r="AD177" s="74"/>
      <c r="AE177" s="67"/>
      <c r="AF177" s="67"/>
      <c r="AG177" s="74"/>
    </row>
    <row r="178" spans="30:33" ht="12">
      <c r="AD178" s="74"/>
      <c r="AE178" s="67"/>
      <c r="AF178" s="67"/>
      <c r="AG178" s="74"/>
    </row>
    <row r="179" spans="30:33" ht="12">
      <c r="AD179" s="74"/>
      <c r="AE179" s="67"/>
      <c r="AF179" s="67"/>
      <c r="AG179" s="74"/>
    </row>
    <row r="180" spans="30:33" ht="12">
      <c r="AD180" s="74"/>
      <c r="AE180" s="67"/>
      <c r="AF180" s="67"/>
      <c r="AG180" s="74"/>
    </row>
    <row r="181" spans="30:33" ht="12">
      <c r="AD181" s="74"/>
      <c r="AE181" s="67"/>
      <c r="AF181" s="67"/>
      <c r="AG181" s="74"/>
    </row>
    <row r="182" spans="30:33" ht="12">
      <c r="AD182" s="74"/>
      <c r="AE182" s="67"/>
      <c r="AF182" s="67"/>
      <c r="AG182" s="74"/>
    </row>
    <row r="183" spans="30:33" ht="12">
      <c r="AD183" s="74"/>
      <c r="AE183" s="67"/>
      <c r="AF183" s="67"/>
      <c r="AG183" s="74"/>
    </row>
    <row r="184" spans="30:33" ht="12">
      <c r="AD184" s="74"/>
      <c r="AE184" s="67"/>
      <c r="AF184" s="67"/>
      <c r="AG184" s="74"/>
    </row>
    <row r="185" spans="30:33" ht="12">
      <c r="AD185" s="74"/>
      <c r="AE185" s="67"/>
      <c r="AF185" s="67"/>
      <c r="AG185" s="74"/>
    </row>
    <row r="186" spans="30:33" ht="12">
      <c r="AD186" s="74"/>
      <c r="AE186" s="67"/>
      <c r="AF186" s="67"/>
      <c r="AG186" s="74"/>
    </row>
    <row r="187" spans="30:33" ht="12">
      <c r="AD187" s="74"/>
      <c r="AE187" s="67"/>
      <c r="AF187" s="67"/>
      <c r="AG187" s="74"/>
    </row>
    <row r="188" spans="30:33" ht="12">
      <c r="AD188" s="74"/>
      <c r="AE188" s="67"/>
      <c r="AF188" s="67"/>
      <c r="AG188" s="74"/>
    </row>
    <row r="189" spans="30:33" ht="12">
      <c r="AD189" s="74"/>
      <c r="AE189" s="67"/>
      <c r="AF189" s="67"/>
      <c r="AG189" s="74"/>
    </row>
    <row r="190" spans="30:33" ht="12">
      <c r="AD190" s="74"/>
      <c r="AE190" s="67"/>
      <c r="AF190" s="67"/>
      <c r="AG190" s="74"/>
    </row>
    <row r="191" spans="30:33" ht="12">
      <c r="AD191" s="74"/>
      <c r="AE191" s="67"/>
      <c r="AF191" s="67"/>
      <c r="AG191" s="74"/>
    </row>
    <row r="192" spans="30:33" ht="12">
      <c r="AD192" s="74"/>
      <c r="AE192" s="67"/>
      <c r="AF192" s="67"/>
      <c r="AG192" s="74"/>
    </row>
    <row r="193" spans="30:33" ht="12">
      <c r="AD193" s="74"/>
      <c r="AE193" s="67"/>
      <c r="AF193" s="67"/>
      <c r="AG193" s="74"/>
    </row>
    <row r="194" spans="30:33" ht="12">
      <c r="AD194" s="74"/>
      <c r="AE194" s="67"/>
      <c r="AF194" s="67"/>
      <c r="AG194" s="74"/>
    </row>
    <row r="195" spans="30:33" ht="12">
      <c r="AD195" s="74"/>
      <c r="AE195" s="67"/>
      <c r="AF195" s="67"/>
      <c r="AG195" s="74"/>
    </row>
    <row r="196" spans="30:33" ht="12">
      <c r="AD196" s="74"/>
      <c r="AE196" s="67"/>
      <c r="AF196" s="67"/>
      <c r="AG196" s="74"/>
    </row>
    <row r="197" spans="30:33" ht="12">
      <c r="AD197" s="74"/>
      <c r="AE197" s="67"/>
      <c r="AF197" s="67"/>
      <c r="AG197" s="74"/>
    </row>
    <row r="198" spans="30:33" ht="12">
      <c r="AD198" s="74"/>
      <c r="AE198" s="67"/>
      <c r="AF198" s="67"/>
      <c r="AG198" s="74"/>
    </row>
    <row r="199" spans="30:33" ht="12">
      <c r="AD199" s="74"/>
      <c r="AE199" s="67"/>
      <c r="AF199" s="67"/>
      <c r="AG199" s="74"/>
    </row>
    <row r="200" spans="30:33" ht="12">
      <c r="AD200" s="74"/>
      <c r="AE200" s="67"/>
      <c r="AF200" s="67"/>
      <c r="AG200" s="74"/>
    </row>
    <row r="201" spans="30:33" ht="12">
      <c r="AD201" s="74"/>
      <c r="AE201" s="67"/>
      <c r="AF201" s="67"/>
      <c r="AG201" s="74"/>
    </row>
    <row r="202" spans="30:33" ht="12">
      <c r="AD202" s="74"/>
      <c r="AE202" s="67"/>
      <c r="AF202" s="67"/>
      <c r="AG202" s="74"/>
    </row>
    <row r="203" spans="30:33" ht="12">
      <c r="AD203" s="74"/>
      <c r="AE203" s="67"/>
      <c r="AF203" s="67"/>
      <c r="AG203" s="74"/>
    </row>
    <row r="204" spans="30:33" ht="12">
      <c r="AD204" s="74"/>
      <c r="AE204" s="67"/>
      <c r="AF204" s="67"/>
      <c r="AG204" s="74"/>
    </row>
    <row r="205" spans="30:33" ht="12">
      <c r="AD205" s="74"/>
      <c r="AE205" s="67"/>
      <c r="AF205" s="67"/>
      <c r="AG205" s="74"/>
    </row>
    <row r="206" spans="30:33" ht="12">
      <c r="AD206" s="74"/>
      <c r="AE206" s="67"/>
      <c r="AF206" s="67"/>
      <c r="AG206" s="74"/>
    </row>
    <row r="207" spans="30:33" ht="12">
      <c r="AD207" s="74"/>
      <c r="AE207" s="67"/>
      <c r="AF207" s="67"/>
      <c r="AG207" s="74"/>
    </row>
    <row r="208" spans="30:33" ht="12">
      <c r="AD208" s="74"/>
      <c r="AE208" s="67"/>
      <c r="AF208" s="67"/>
      <c r="AG208" s="74"/>
    </row>
    <row r="209" spans="30:33" ht="12">
      <c r="AD209" s="74"/>
      <c r="AE209" s="67"/>
      <c r="AF209" s="67"/>
      <c r="AG209" s="74"/>
    </row>
    <row r="210" spans="30:33" ht="12">
      <c r="AD210" s="74"/>
      <c r="AE210" s="67"/>
      <c r="AF210" s="67"/>
      <c r="AG210" s="74"/>
    </row>
    <row r="211" spans="30:33" ht="12">
      <c r="AD211" s="74"/>
      <c r="AE211" s="67"/>
      <c r="AF211" s="67"/>
      <c r="AG211" s="74"/>
    </row>
    <row r="212" spans="30:33" ht="12">
      <c r="AD212" s="74"/>
      <c r="AE212" s="67"/>
      <c r="AF212" s="67"/>
      <c r="AG212" s="74"/>
    </row>
    <row r="213" spans="30:33" ht="12">
      <c r="AD213" s="74"/>
      <c r="AE213" s="67"/>
      <c r="AF213" s="67"/>
      <c r="AG213" s="74"/>
    </row>
    <row r="214" spans="30:33" ht="12">
      <c r="AD214" s="74"/>
      <c r="AE214" s="67"/>
      <c r="AF214" s="67"/>
      <c r="AG214" s="74"/>
    </row>
    <row r="215" spans="30:33" ht="12">
      <c r="AD215" s="74"/>
      <c r="AE215" s="67"/>
      <c r="AF215" s="67"/>
      <c r="AG215" s="74"/>
    </row>
    <row r="216" spans="30:33" ht="12">
      <c r="AD216" s="74"/>
      <c r="AE216" s="67"/>
      <c r="AF216" s="67"/>
      <c r="AG216" s="74"/>
    </row>
    <row r="217" spans="30:33" ht="12">
      <c r="AD217" s="74"/>
      <c r="AE217" s="67"/>
      <c r="AF217" s="67"/>
      <c r="AG217" s="74"/>
    </row>
    <row r="218" spans="30:33" ht="12">
      <c r="AD218" s="74"/>
      <c r="AE218" s="67"/>
      <c r="AF218" s="67"/>
      <c r="AG218" s="74"/>
    </row>
    <row r="219" spans="30:33" ht="12">
      <c r="AD219" s="74"/>
      <c r="AE219" s="67"/>
      <c r="AF219" s="67"/>
      <c r="AG219" s="74"/>
    </row>
    <row r="220" spans="30:33" ht="12">
      <c r="AD220" s="74"/>
      <c r="AE220" s="67"/>
      <c r="AF220" s="67"/>
      <c r="AG220" s="74"/>
    </row>
    <row r="221" spans="30:33" ht="12">
      <c r="AD221" s="74"/>
      <c r="AE221" s="67"/>
      <c r="AF221" s="67"/>
      <c r="AG221" s="74"/>
    </row>
    <row r="222" spans="30:33" ht="12">
      <c r="AD222" s="74"/>
      <c r="AE222" s="67"/>
      <c r="AF222" s="67"/>
      <c r="AG222" s="74"/>
    </row>
    <row r="223" spans="30:33" ht="12">
      <c r="AD223" s="74"/>
      <c r="AE223" s="67"/>
      <c r="AF223" s="67"/>
      <c r="AG223" s="74"/>
    </row>
    <row r="224" spans="30:33" ht="12">
      <c r="AD224" s="74"/>
      <c r="AE224" s="67"/>
      <c r="AF224" s="67"/>
      <c r="AG224" s="74"/>
    </row>
    <row r="225" spans="30:33" ht="12">
      <c r="AD225" s="74"/>
      <c r="AE225" s="67"/>
      <c r="AF225" s="67"/>
      <c r="AG225" s="74"/>
    </row>
    <row r="226" spans="30:33" ht="12">
      <c r="AD226" s="74"/>
      <c r="AE226" s="67"/>
      <c r="AF226" s="67"/>
      <c r="AG226" s="74"/>
    </row>
    <row r="227" spans="30:33" ht="12">
      <c r="AD227" s="74"/>
      <c r="AE227" s="67"/>
      <c r="AF227" s="67"/>
      <c r="AG227" s="74"/>
    </row>
    <row r="228" spans="30:33" ht="12">
      <c r="AD228" s="74"/>
      <c r="AE228" s="67"/>
      <c r="AF228" s="67"/>
      <c r="AG228" s="74"/>
    </row>
    <row r="229" spans="30:33" ht="12">
      <c r="AD229" s="74"/>
      <c r="AE229" s="67"/>
      <c r="AF229" s="67"/>
      <c r="AG229" s="74"/>
    </row>
    <row r="230" spans="30:33" ht="12">
      <c r="AD230" s="74"/>
      <c r="AE230" s="67"/>
      <c r="AF230" s="67"/>
      <c r="AG230" s="74"/>
    </row>
    <row r="231" spans="30:33" ht="12">
      <c r="AD231" s="74"/>
      <c r="AE231" s="67"/>
      <c r="AF231" s="67"/>
      <c r="AG231" s="74"/>
    </row>
    <row r="232" spans="30:33" ht="12">
      <c r="AD232" s="74"/>
      <c r="AE232" s="67"/>
      <c r="AF232" s="67"/>
      <c r="AG232" s="74"/>
    </row>
    <row r="233" spans="30:33" ht="12">
      <c r="AD233" s="74"/>
      <c r="AE233" s="67"/>
      <c r="AF233" s="67"/>
      <c r="AG233" s="74"/>
    </row>
    <row r="234" spans="30:33" ht="12">
      <c r="AD234" s="74"/>
      <c r="AE234" s="67"/>
      <c r="AF234" s="67"/>
      <c r="AG234" s="74"/>
    </row>
    <row r="235" spans="30:33" ht="12">
      <c r="AD235" s="74"/>
      <c r="AE235" s="67"/>
      <c r="AF235" s="67"/>
      <c r="AG235" s="74"/>
    </row>
    <row r="236" spans="30:33" ht="12">
      <c r="AD236" s="74"/>
      <c r="AE236" s="67"/>
      <c r="AF236" s="67"/>
      <c r="AG236" s="74"/>
    </row>
    <row r="237" spans="30:33" ht="12">
      <c r="AD237" s="74"/>
      <c r="AE237" s="67"/>
      <c r="AF237" s="67"/>
      <c r="AG237" s="74"/>
    </row>
    <row r="238" spans="30:33" ht="12">
      <c r="AD238" s="74"/>
      <c r="AE238" s="67"/>
      <c r="AF238" s="67"/>
      <c r="AG238" s="74"/>
    </row>
    <row r="239" spans="30:33" ht="12">
      <c r="AD239" s="74"/>
      <c r="AE239" s="67"/>
      <c r="AF239" s="67"/>
      <c r="AG239" s="74"/>
    </row>
    <row r="240" spans="30:33" ht="12">
      <c r="AD240" s="74"/>
      <c r="AE240" s="67"/>
      <c r="AF240" s="67"/>
      <c r="AG240" s="74"/>
    </row>
    <row r="241" spans="30:33" ht="12">
      <c r="AD241" s="74"/>
      <c r="AE241" s="67"/>
      <c r="AF241" s="67"/>
      <c r="AG241" s="74"/>
    </row>
    <row r="242" spans="30:33" ht="12">
      <c r="AD242" s="74"/>
      <c r="AE242" s="67"/>
      <c r="AF242" s="67"/>
      <c r="AG242" s="74"/>
    </row>
    <row r="243" spans="30:33" ht="12">
      <c r="AD243" s="74"/>
      <c r="AE243" s="67"/>
      <c r="AF243" s="67"/>
      <c r="AG243" s="74"/>
    </row>
    <row r="244" spans="30:33" ht="12">
      <c r="AD244" s="74"/>
      <c r="AE244" s="67"/>
      <c r="AF244" s="67"/>
      <c r="AG244" s="74"/>
    </row>
    <row r="245" spans="30:33" ht="12">
      <c r="AD245" s="74"/>
      <c r="AE245" s="67"/>
      <c r="AF245" s="67"/>
      <c r="AG245" s="74"/>
    </row>
    <row r="246" spans="30:33" ht="12">
      <c r="AD246" s="74"/>
      <c r="AE246" s="67"/>
      <c r="AF246" s="67"/>
      <c r="AG246" s="74"/>
    </row>
    <row r="247" spans="30:33" ht="12">
      <c r="AD247" s="74"/>
      <c r="AE247" s="67"/>
      <c r="AF247" s="67"/>
      <c r="AG247" s="74"/>
    </row>
    <row r="248" spans="30:33" ht="12">
      <c r="AD248" s="74"/>
      <c r="AE248" s="67"/>
      <c r="AF248" s="67"/>
      <c r="AG248" s="74"/>
    </row>
    <row r="249" spans="30:33" ht="12">
      <c r="AD249" s="74"/>
      <c r="AE249" s="67"/>
      <c r="AF249" s="67"/>
      <c r="AG249" s="74"/>
    </row>
    <row r="250" spans="30:33" ht="12">
      <c r="AD250" s="74"/>
      <c r="AE250" s="67"/>
      <c r="AF250" s="67"/>
      <c r="AG250" s="74"/>
    </row>
    <row r="251" spans="30:33" ht="12">
      <c r="AD251" s="74"/>
      <c r="AE251" s="67"/>
      <c r="AF251" s="67"/>
      <c r="AG251" s="74"/>
    </row>
    <row r="252" spans="30:33" ht="12">
      <c r="AD252" s="74"/>
      <c r="AE252" s="67"/>
      <c r="AF252" s="67"/>
      <c r="AG252" s="74"/>
    </row>
    <row r="253" spans="30:33" ht="12">
      <c r="AD253" s="74"/>
      <c r="AE253" s="67"/>
      <c r="AF253" s="67"/>
      <c r="AG253" s="74"/>
    </row>
    <row r="254" spans="30:33" ht="12">
      <c r="AD254" s="74"/>
      <c r="AE254" s="67"/>
      <c r="AF254" s="67"/>
      <c r="AG254" s="74"/>
    </row>
    <row r="255" spans="30:33" ht="12">
      <c r="AD255" s="74"/>
      <c r="AE255" s="67"/>
      <c r="AF255" s="67"/>
      <c r="AG255" s="74"/>
    </row>
    <row r="256" spans="30:33" ht="12">
      <c r="AD256" s="74"/>
      <c r="AE256" s="67"/>
      <c r="AF256" s="67"/>
      <c r="AG256" s="74"/>
    </row>
    <row r="257" spans="30:33" ht="12">
      <c r="AD257" s="74"/>
      <c r="AE257" s="67"/>
      <c r="AF257" s="67"/>
      <c r="AG257" s="74"/>
    </row>
    <row r="258" spans="30:33" ht="12">
      <c r="AD258" s="74"/>
      <c r="AE258" s="67"/>
      <c r="AF258" s="67"/>
      <c r="AG258" s="74"/>
    </row>
    <row r="259" spans="30:33" ht="12">
      <c r="AD259" s="74"/>
      <c r="AE259" s="67"/>
      <c r="AF259" s="67"/>
      <c r="AG259" s="74"/>
    </row>
    <row r="260" spans="30:33" ht="12">
      <c r="AD260" s="74"/>
      <c r="AE260" s="67"/>
      <c r="AF260" s="67"/>
      <c r="AG260" s="74"/>
    </row>
    <row r="261" spans="30:33" ht="12">
      <c r="AD261" s="74"/>
      <c r="AE261" s="67"/>
      <c r="AF261" s="67"/>
      <c r="AG261" s="74"/>
    </row>
    <row r="262" spans="30:33" ht="12">
      <c r="AD262" s="74"/>
      <c r="AE262" s="67"/>
      <c r="AF262" s="67"/>
      <c r="AG262" s="74"/>
    </row>
    <row r="263" spans="30:33" ht="12">
      <c r="AD263" s="74"/>
      <c r="AE263" s="67"/>
      <c r="AF263" s="67"/>
      <c r="AG263" s="74"/>
    </row>
    <row r="264" spans="30:33" ht="12">
      <c r="AD264" s="74"/>
      <c r="AE264" s="67"/>
      <c r="AF264" s="67"/>
      <c r="AG264" s="74"/>
    </row>
    <row r="265" spans="30:33" ht="12">
      <c r="AD265" s="74"/>
      <c r="AE265" s="67"/>
      <c r="AF265" s="67"/>
      <c r="AG265" s="74"/>
    </row>
    <row r="266" spans="30:33" ht="12">
      <c r="AD266" s="74"/>
      <c r="AE266" s="67"/>
      <c r="AF266" s="67"/>
      <c r="AG266" s="74"/>
    </row>
    <row r="267" spans="30:33" ht="12">
      <c r="AD267" s="74"/>
      <c r="AE267" s="67"/>
      <c r="AF267" s="67"/>
      <c r="AG267" s="74"/>
    </row>
    <row r="268" spans="30:33" ht="12">
      <c r="AD268" s="74"/>
      <c r="AE268" s="67"/>
      <c r="AF268" s="67"/>
      <c r="AG268" s="74"/>
    </row>
    <row r="269" spans="30:33" ht="12">
      <c r="AD269" s="74"/>
      <c r="AE269" s="67"/>
      <c r="AF269" s="67"/>
      <c r="AG269" s="74"/>
    </row>
    <row r="270" spans="30:33" ht="12">
      <c r="AD270" s="74"/>
      <c r="AE270" s="67"/>
      <c r="AF270" s="67"/>
      <c r="AG270" s="74"/>
    </row>
    <row r="271" spans="30:33" ht="12">
      <c r="AD271" s="74"/>
      <c r="AE271" s="67"/>
      <c r="AF271" s="67"/>
      <c r="AG271" s="74"/>
    </row>
    <row r="272" spans="30:33" ht="12">
      <c r="AD272" s="74"/>
      <c r="AE272" s="67"/>
      <c r="AF272" s="67"/>
      <c r="AG272" s="74"/>
    </row>
    <row r="273" spans="30:33" ht="12">
      <c r="AD273" s="74"/>
      <c r="AE273" s="67"/>
      <c r="AF273" s="67"/>
      <c r="AG273" s="74"/>
    </row>
    <row r="274" spans="30:33" ht="12">
      <c r="AD274" s="74"/>
      <c r="AE274" s="67"/>
      <c r="AF274" s="67"/>
      <c r="AG274" s="74"/>
    </row>
    <row r="275" spans="30:33" ht="12">
      <c r="AD275" s="74"/>
      <c r="AE275" s="67"/>
      <c r="AF275" s="67"/>
      <c r="AG275" s="74"/>
    </row>
    <row r="276" spans="30:33" ht="12">
      <c r="AD276" s="74"/>
      <c r="AE276" s="67"/>
      <c r="AF276" s="67"/>
      <c r="AG276" s="74"/>
    </row>
    <row r="277" spans="30:33" ht="12">
      <c r="AD277" s="74"/>
      <c r="AE277" s="67"/>
      <c r="AF277" s="67"/>
      <c r="AG277" s="74"/>
    </row>
    <row r="278" spans="30:33" ht="12">
      <c r="AD278" s="74"/>
      <c r="AE278" s="67"/>
      <c r="AF278" s="67"/>
      <c r="AG278" s="74"/>
    </row>
    <row r="279" spans="30:33" ht="12">
      <c r="AD279" s="74"/>
      <c r="AE279" s="67"/>
      <c r="AF279" s="67"/>
      <c r="AG279" s="74"/>
    </row>
    <row r="280" spans="30:33" ht="12">
      <c r="AD280" s="74"/>
      <c r="AE280" s="67"/>
      <c r="AF280" s="67"/>
      <c r="AG280" s="74"/>
    </row>
    <row r="281" spans="30:33" ht="12">
      <c r="AD281" s="74"/>
      <c r="AE281" s="67"/>
      <c r="AF281" s="67"/>
      <c r="AG281" s="74"/>
    </row>
    <row r="282" spans="30:33" ht="12">
      <c r="AD282" s="74"/>
      <c r="AE282" s="67"/>
      <c r="AF282" s="67"/>
      <c r="AG282" s="74"/>
    </row>
    <row r="283" spans="30:33" ht="12">
      <c r="AD283" s="74"/>
      <c r="AE283" s="67"/>
      <c r="AF283" s="67"/>
      <c r="AG283" s="74"/>
    </row>
    <row r="284" spans="30:33" ht="12">
      <c r="AD284" s="74"/>
      <c r="AE284" s="67"/>
      <c r="AF284" s="67"/>
      <c r="AG284" s="74"/>
    </row>
    <row r="285" spans="30:33" ht="12">
      <c r="AD285" s="74"/>
      <c r="AE285" s="67"/>
      <c r="AF285" s="67"/>
      <c r="AG285" s="74"/>
    </row>
    <row r="286" spans="30:33" ht="12">
      <c r="AD286" s="74"/>
      <c r="AE286" s="67"/>
      <c r="AF286" s="67"/>
      <c r="AG286" s="74"/>
    </row>
    <row r="287" spans="30:33" ht="12">
      <c r="AD287" s="74"/>
      <c r="AE287" s="67"/>
      <c r="AF287" s="67"/>
      <c r="AG287" s="74"/>
    </row>
    <row r="288" spans="30:33" ht="12">
      <c r="AD288" s="74"/>
      <c r="AE288" s="67"/>
      <c r="AF288" s="67"/>
      <c r="AG288" s="74"/>
    </row>
    <row r="289" spans="30:33" ht="12">
      <c r="AD289" s="74"/>
      <c r="AE289" s="67"/>
      <c r="AF289" s="67"/>
      <c r="AG289" s="74"/>
    </row>
    <row r="290" spans="30:33" ht="12">
      <c r="AD290" s="74"/>
      <c r="AE290" s="67"/>
      <c r="AF290" s="67"/>
      <c r="AG290" s="74"/>
    </row>
    <row r="291" spans="30:33" ht="12">
      <c r="AD291" s="74"/>
      <c r="AE291" s="67"/>
      <c r="AF291" s="67"/>
      <c r="AG291" s="74"/>
    </row>
    <row r="292" spans="30:33" ht="12">
      <c r="AD292" s="74"/>
      <c r="AE292" s="67"/>
      <c r="AF292" s="67"/>
      <c r="AG292" s="74"/>
    </row>
    <row r="293" spans="30:33" ht="12">
      <c r="AD293" s="74"/>
      <c r="AE293" s="67"/>
      <c r="AF293" s="67"/>
      <c r="AG293" s="74"/>
    </row>
    <row r="294" spans="30:33" ht="12">
      <c r="AD294" s="74"/>
      <c r="AE294" s="67"/>
      <c r="AF294" s="67"/>
      <c r="AG294" s="74"/>
    </row>
    <row r="295" spans="30:33" ht="12">
      <c r="AD295" s="74"/>
      <c r="AE295" s="67"/>
      <c r="AF295" s="67"/>
      <c r="AG295" s="74"/>
    </row>
    <row r="296" spans="30:33" ht="12">
      <c r="AD296" s="74"/>
      <c r="AE296" s="67"/>
      <c r="AF296" s="67"/>
      <c r="AG296" s="74"/>
    </row>
    <row r="297" spans="30:33" ht="12">
      <c r="AD297" s="74"/>
      <c r="AE297" s="67"/>
      <c r="AF297" s="67"/>
      <c r="AG297" s="74"/>
    </row>
    <row r="298" spans="30:33" ht="12">
      <c r="AD298" s="74"/>
      <c r="AE298" s="67"/>
      <c r="AF298" s="67"/>
      <c r="AG298" s="74"/>
    </row>
    <row r="299" spans="30:33" ht="12">
      <c r="AD299" s="74"/>
      <c r="AE299" s="67"/>
      <c r="AF299" s="67"/>
      <c r="AG299" s="74"/>
    </row>
    <row r="300" spans="30:33" ht="12">
      <c r="AD300" s="74"/>
      <c r="AE300" s="67"/>
      <c r="AF300" s="67"/>
      <c r="AG300" s="74"/>
    </row>
    <row r="301" spans="30:33" ht="12">
      <c r="AD301" s="74"/>
      <c r="AE301" s="67"/>
      <c r="AF301" s="67"/>
      <c r="AG301" s="74"/>
    </row>
    <row r="302" spans="30:33" ht="12">
      <c r="AD302" s="74"/>
      <c r="AE302" s="67"/>
      <c r="AF302" s="67"/>
      <c r="AG302" s="74"/>
    </row>
    <row r="303" spans="30:33" ht="12">
      <c r="AD303" s="74"/>
      <c r="AE303" s="67"/>
      <c r="AF303" s="67"/>
      <c r="AG303" s="74"/>
    </row>
    <row r="304" spans="30:33" ht="12">
      <c r="AD304" s="74"/>
      <c r="AE304" s="67"/>
      <c r="AF304" s="67"/>
      <c r="AG304" s="74"/>
    </row>
    <row r="305" spans="30:33" ht="12">
      <c r="AD305" s="74"/>
      <c r="AE305" s="67"/>
      <c r="AF305" s="67"/>
      <c r="AG305" s="74"/>
    </row>
    <row r="306" spans="30:33" ht="12">
      <c r="AD306" s="74"/>
      <c r="AE306" s="67"/>
      <c r="AF306" s="67"/>
      <c r="AG306" s="74"/>
    </row>
    <row r="307" spans="30:33" ht="12">
      <c r="AD307" s="74"/>
      <c r="AE307" s="67"/>
      <c r="AF307" s="67"/>
      <c r="AG307" s="74"/>
    </row>
    <row r="308" spans="30:33" ht="12">
      <c r="AD308" s="74"/>
      <c r="AE308" s="67"/>
      <c r="AF308" s="67"/>
      <c r="AG308" s="74"/>
    </row>
    <row r="309" spans="30:33" ht="12">
      <c r="AD309" s="74"/>
      <c r="AE309" s="67"/>
      <c r="AF309" s="67"/>
      <c r="AG309" s="74"/>
    </row>
    <row r="310" spans="30:33" ht="12">
      <c r="AD310" s="74"/>
      <c r="AE310" s="67"/>
      <c r="AF310" s="67"/>
      <c r="AG310" s="74"/>
    </row>
    <row r="311" spans="30:33" ht="12">
      <c r="AD311" s="74"/>
      <c r="AE311" s="67"/>
      <c r="AF311" s="67"/>
      <c r="AG311" s="74"/>
    </row>
    <row r="312" spans="30:33" ht="12">
      <c r="AD312" s="74"/>
      <c r="AE312" s="67"/>
      <c r="AF312" s="67"/>
      <c r="AG312" s="74"/>
    </row>
    <row r="313" spans="30:33" ht="12">
      <c r="AD313" s="74"/>
      <c r="AE313" s="67"/>
      <c r="AF313" s="67"/>
      <c r="AG313" s="74"/>
    </row>
    <row r="314" spans="30:33" ht="12">
      <c r="AD314" s="74"/>
      <c r="AE314" s="67"/>
      <c r="AF314" s="67"/>
      <c r="AG314" s="74"/>
    </row>
    <row r="315" spans="30:33" ht="12">
      <c r="AD315" s="74"/>
      <c r="AE315" s="67"/>
      <c r="AF315" s="67"/>
      <c r="AG315" s="74"/>
    </row>
    <row r="316" spans="30:33" ht="12">
      <c r="AD316" s="74"/>
      <c r="AE316" s="67"/>
      <c r="AF316" s="67"/>
      <c r="AG316" s="74"/>
    </row>
    <row r="317" spans="30:33" ht="12">
      <c r="AD317" s="74"/>
      <c r="AE317" s="67"/>
      <c r="AF317" s="67"/>
      <c r="AG317" s="74"/>
    </row>
    <row r="318" spans="30:33" ht="12">
      <c r="AD318" s="74"/>
      <c r="AE318" s="67"/>
      <c r="AF318" s="67"/>
      <c r="AG318" s="74"/>
    </row>
    <row r="319" spans="30:33" ht="12">
      <c r="AD319" s="74"/>
      <c r="AE319" s="67"/>
      <c r="AF319" s="67"/>
      <c r="AG319" s="74"/>
    </row>
    <row r="320" spans="30:33" ht="12">
      <c r="AD320" s="74"/>
      <c r="AE320" s="67"/>
      <c r="AF320" s="67"/>
      <c r="AG320" s="74"/>
    </row>
    <row r="321" spans="30:33" ht="12">
      <c r="AD321" s="74"/>
      <c r="AE321" s="67"/>
      <c r="AF321" s="67"/>
      <c r="AG321" s="74"/>
    </row>
    <row r="322" spans="30:33" ht="12">
      <c r="AD322" s="74"/>
      <c r="AE322" s="67"/>
      <c r="AF322" s="67"/>
      <c r="AG322" s="74"/>
    </row>
    <row r="323" spans="30:33" ht="12">
      <c r="AD323" s="74"/>
      <c r="AE323" s="67"/>
      <c r="AF323" s="67"/>
      <c r="AG323" s="74"/>
    </row>
    <row r="324" spans="30:33" ht="12">
      <c r="AD324" s="74"/>
      <c r="AE324" s="67"/>
      <c r="AF324" s="67"/>
      <c r="AG324" s="74"/>
    </row>
    <row r="325" spans="30:33" ht="12">
      <c r="AD325" s="74"/>
      <c r="AE325" s="67"/>
      <c r="AF325" s="67"/>
      <c r="AG325" s="74"/>
    </row>
    <row r="326" spans="30:33" ht="12">
      <c r="AD326" s="74"/>
      <c r="AE326" s="67"/>
      <c r="AF326" s="67"/>
      <c r="AG326" s="74"/>
    </row>
    <row r="327" spans="30:33" ht="12">
      <c r="AD327" s="74"/>
      <c r="AE327" s="67"/>
      <c r="AF327" s="67"/>
      <c r="AG327" s="74"/>
    </row>
    <row r="328" spans="30:33" ht="12">
      <c r="AD328" s="74"/>
      <c r="AE328" s="67"/>
      <c r="AF328" s="67"/>
      <c r="AG328" s="74"/>
    </row>
    <row r="329" spans="30:33" ht="12">
      <c r="AD329" s="74"/>
      <c r="AE329" s="67"/>
      <c r="AF329" s="67"/>
      <c r="AG329" s="74"/>
    </row>
    <row r="330" spans="30:33" ht="12">
      <c r="AD330" s="74"/>
      <c r="AE330" s="67"/>
      <c r="AF330" s="67"/>
      <c r="AG330" s="74"/>
    </row>
    <row r="331" spans="30:33" ht="12">
      <c r="AD331" s="74"/>
      <c r="AE331" s="67"/>
      <c r="AF331" s="67"/>
      <c r="AG331" s="74"/>
    </row>
    <row r="332" spans="30:33" ht="12">
      <c r="AD332" s="74"/>
      <c r="AE332" s="67"/>
      <c r="AF332" s="67"/>
      <c r="AG332" s="74"/>
    </row>
    <row r="333" spans="30:33" ht="12">
      <c r="AD333" s="74"/>
      <c r="AE333" s="67"/>
      <c r="AF333" s="67"/>
      <c r="AG333" s="74"/>
    </row>
    <row r="334" spans="30:33" ht="12">
      <c r="AD334" s="74"/>
      <c r="AE334" s="67"/>
      <c r="AF334" s="67"/>
      <c r="AG334" s="74"/>
    </row>
    <row r="335" spans="30:33" ht="12">
      <c r="AD335" s="74"/>
      <c r="AE335" s="67"/>
      <c r="AF335" s="67"/>
      <c r="AG335" s="74"/>
    </row>
    <row r="336" spans="30:33" ht="12">
      <c r="AD336" s="74"/>
      <c r="AE336" s="67"/>
      <c r="AF336" s="67"/>
      <c r="AG336" s="74"/>
    </row>
    <row r="337" spans="30:33" ht="12">
      <c r="AD337" s="74"/>
      <c r="AE337" s="67"/>
      <c r="AF337" s="67"/>
      <c r="AG337" s="74"/>
    </row>
    <row r="338" spans="30:33" ht="12">
      <c r="AD338" s="74"/>
      <c r="AE338" s="67"/>
      <c r="AF338" s="67"/>
      <c r="AG338" s="74"/>
    </row>
    <row r="339" spans="30:33" ht="12">
      <c r="AD339" s="74"/>
      <c r="AE339" s="67"/>
      <c r="AF339" s="67"/>
      <c r="AG339" s="74"/>
    </row>
    <row r="340" spans="30:33" ht="12">
      <c r="AD340" s="74"/>
      <c r="AE340" s="67"/>
      <c r="AF340" s="67"/>
      <c r="AG340" s="74"/>
    </row>
    <row r="341" spans="30:33" ht="12">
      <c r="AD341" s="74"/>
      <c r="AE341" s="67"/>
      <c r="AF341" s="67"/>
      <c r="AG341" s="74"/>
    </row>
    <row r="342" spans="30:33" ht="12">
      <c r="AD342" s="74"/>
      <c r="AE342" s="67"/>
      <c r="AF342" s="67"/>
      <c r="AG342" s="74"/>
    </row>
    <row r="343" spans="30:33" ht="12">
      <c r="AD343" s="74"/>
      <c r="AE343" s="67"/>
      <c r="AF343" s="67"/>
      <c r="AG343" s="74"/>
    </row>
    <row r="344" spans="30:33" ht="12">
      <c r="AD344" s="74"/>
      <c r="AE344" s="67"/>
      <c r="AF344" s="67"/>
      <c r="AG344" s="74"/>
    </row>
    <row r="345" spans="30:33" ht="12">
      <c r="AD345" s="74"/>
      <c r="AE345" s="67"/>
      <c r="AF345" s="67"/>
      <c r="AG345" s="74"/>
    </row>
    <row r="346" spans="30:33" ht="12">
      <c r="AD346" s="74"/>
      <c r="AE346" s="67"/>
      <c r="AF346" s="67"/>
      <c r="AG346" s="74"/>
    </row>
    <row r="347" spans="30:33" ht="12">
      <c r="AD347" s="74"/>
      <c r="AE347" s="67"/>
      <c r="AF347" s="67"/>
      <c r="AG347" s="74"/>
    </row>
    <row r="348" spans="30:33" ht="12">
      <c r="AD348" s="74"/>
      <c r="AE348" s="67"/>
      <c r="AF348" s="67"/>
      <c r="AG348" s="74"/>
    </row>
    <row r="349" spans="30:33" ht="12">
      <c r="AD349" s="74"/>
      <c r="AE349" s="67"/>
      <c r="AF349" s="67"/>
      <c r="AG349" s="74"/>
    </row>
    <row r="350" spans="30:33" ht="12">
      <c r="AD350" s="74"/>
      <c r="AE350" s="67"/>
      <c r="AF350" s="67"/>
      <c r="AG350" s="74"/>
    </row>
    <row r="351" spans="30:33" ht="12">
      <c r="AD351" s="74"/>
      <c r="AE351" s="67"/>
      <c r="AF351" s="67"/>
      <c r="AG351" s="74"/>
    </row>
    <row r="352" spans="30:33" ht="12">
      <c r="AD352" s="74"/>
      <c r="AE352" s="67"/>
      <c r="AF352" s="67"/>
      <c r="AG352" s="74"/>
    </row>
    <row r="353" spans="30:33" ht="12">
      <c r="AD353" s="74"/>
      <c r="AE353" s="67"/>
      <c r="AF353" s="67"/>
      <c r="AG353" s="74"/>
    </row>
    <row r="354" spans="30:33" ht="12">
      <c r="AD354" s="74"/>
      <c r="AE354" s="67"/>
      <c r="AF354" s="67"/>
      <c r="AG354" s="74"/>
    </row>
    <row r="355" spans="30:33" ht="12">
      <c r="AD355" s="74"/>
      <c r="AE355" s="67"/>
      <c r="AF355" s="67"/>
      <c r="AG355" s="74"/>
    </row>
    <row r="356" spans="30:33" ht="12">
      <c r="AD356" s="74"/>
      <c r="AE356" s="67"/>
      <c r="AF356" s="67"/>
      <c r="AG356" s="74"/>
    </row>
    <row r="357" spans="30:33" ht="12">
      <c r="AD357" s="74"/>
      <c r="AE357" s="67"/>
      <c r="AF357" s="67"/>
      <c r="AG357" s="74"/>
    </row>
    <row r="358" spans="30:33" ht="12">
      <c r="AD358" s="74"/>
      <c r="AE358" s="67"/>
      <c r="AF358" s="67"/>
      <c r="AG358" s="74"/>
    </row>
    <row r="359" spans="30:33" ht="12">
      <c r="AD359" s="74"/>
      <c r="AE359" s="67"/>
      <c r="AF359" s="67"/>
      <c r="AG359" s="74"/>
    </row>
    <row r="360" spans="30:33" ht="12">
      <c r="AD360" s="74"/>
      <c r="AE360" s="67"/>
      <c r="AF360" s="67"/>
      <c r="AG360" s="74"/>
    </row>
    <row r="361" spans="30:33" ht="12">
      <c r="AD361" s="74"/>
      <c r="AE361" s="67"/>
      <c r="AF361" s="67"/>
      <c r="AG361" s="74"/>
    </row>
    <row r="362" spans="30:33" ht="12">
      <c r="AD362" s="74"/>
      <c r="AE362" s="67"/>
      <c r="AF362" s="67"/>
      <c r="AG362" s="74"/>
    </row>
    <row r="363" spans="30:33" ht="12">
      <c r="AD363" s="74"/>
      <c r="AE363" s="67"/>
      <c r="AF363" s="67"/>
      <c r="AG363" s="74"/>
    </row>
    <row r="364" spans="30:33" ht="12">
      <c r="AD364" s="74"/>
      <c r="AE364" s="67"/>
      <c r="AF364" s="67"/>
      <c r="AG364" s="74"/>
    </row>
    <row r="365" spans="30:33" ht="12">
      <c r="AD365" s="74"/>
      <c r="AE365" s="67"/>
      <c r="AF365" s="67"/>
      <c r="AG365" s="74"/>
    </row>
    <row r="366" spans="30:33" ht="12">
      <c r="AD366" s="74"/>
      <c r="AE366" s="67"/>
      <c r="AF366" s="67"/>
      <c r="AG366" s="74"/>
    </row>
    <row r="367" spans="30:33" ht="12">
      <c r="AD367" s="74"/>
      <c r="AE367" s="67"/>
      <c r="AF367" s="67"/>
      <c r="AG367" s="74"/>
    </row>
    <row r="368" spans="30:33" ht="12">
      <c r="AD368" s="74"/>
      <c r="AE368" s="67"/>
      <c r="AF368" s="67"/>
      <c r="AG368" s="74"/>
    </row>
    <row r="369" spans="30:33" ht="12">
      <c r="AD369" s="74"/>
      <c r="AE369" s="67"/>
      <c r="AF369" s="67"/>
      <c r="AG369" s="74"/>
    </row>
    <row r="370" spans="30:33" ht="12">
      <c r="AD370" s="74"/>
      <c r="AE370" s="67"/>
      <c r="AF370" s="67"/>
      <c r="AG370" s="74"/>
    </row>
    <row r="371" spans="30:33" ht="12">
      <c r="AD371" s="74"/>
      <c r="AE371" s="67"/>
      <c r="AF371" s="67"/>
      <c r="AG371" s="74"/>
    </row>
    <row r="372" spans="30:33" ht="12">
      <c r="AD372" s="74"/>
      <c r="AE372" s="67"/>
      <c r="AF372" s="67"/>
      <c r="AG372" s="74"/>
    </row>
    <row r="373" spans="30:33" ht="12">
      <c r="AD373" s="74"/>
      <c r="AE373" s="67"/>
      <c r="AF373" s="67"/>
      <c r="AG373" s="74"/>
    </row>
    <row r="374" spans="30:33" ht="12">
      <c r="AD374" s="74"/>
      <c r="AE374" s="67"/>
      <c r="AF374" s="67"/>
      <c r="AG374" s="74"/>
    </row>
    <row r="375" spans="30:33" ht="12">
      <c r="AD375" s="74"/>
      <c r="AE375" s="67"/>
      <c r="AF375" s="67"/>
      <c r="AG375" s="74"/>
    </row>
    <row r="376" spans="30:33" ht="12">
      <c r="AD376" s="74"/>
      <c r="AE376" s="67"/>
      <c r="AF376" s="67"/>
      <c r="AG376" s="74"/>
    </row>
    <row r="377" spans="30:33" ht="12">
      <c r="AD377" s="74"/>
      <c r="AE377" s="67"/>
      <c r="AF377" s="67"/>
      <c r="AG377" s="74"/>
    </row>
    <row r="378" spans="30:33" ht="12">
      <c r="AD378" s="74"/>
      <c r="AE378" s="67"/>
      <c r="AF378" s="67"/>
      <c r="AG378" s="74"/>
    </row>
    <row r="379" spans="30:33" ht="12">
      <c r="AD379" s="74"/>
      <c r="AE379" s="67"/>
      <c r="AF379" s="67"/>
      <c r="AG379" s="74"/>
    </row>
    <row r="380" spans="30:33" ht="12">
      <c r="AD380" s="74"/>
      <c r="AE380" s="67"/>
      <c r="AF380" s="67"/>
      <c r="AG380" s="74"/>
    </row>
    <row r="381" spans="30:33" ht="12">
      <c r="AD381" s="74"/>
      <c r="AE381" s="67"/>
      <c r="AF381" s="67"/>
      <c r="AG381" s="74"/>
    </row>
    <row r="382" spans="30:33" ht="12">
      <c r="AD382" s="74"/>
      <c r="AE382" s="67"/>
      <c r="AF382" s="67"/>
      <c r="AG382" s="74"/>
    </row>
    <row r="383" spans="30:33" ht="12">
      <c r="AD383" s="74"/>
      <c r="AE383" s="67"/>
      <c r="AF383" s="67"/>
      <c r="AG383" s="74"/>
    </row>
    <row r="384" spans="30:33" ht="12">
      <c r="AD384" s="74"/>
      <c r="AE384" s="67"/>
      <c r="AF384" s="67"/>
      <c r="AG384" s="74"/>
    </row>
    <row r="385" spans="30:33" ht="12">
      <c r="AD385" s="74"/>
      <c r="AE385" s="67"/>
      <c r="AF385" s="67"/>
      <c r="AG385" s="74"/>
    </row>
    <row r="386" spans="30:33" ht="12">
      <c r="AD386" s="74"/>
      <c r="AE386" s="67"/>
      <c r="AF386" s="67"/>
      <c r="AG386" s="74"/>
    </row>
    <row r="387" spans="30:33" ht="12">
      <c r="AD387" s="74"/>
      <c r="AE387" s="67"/>
      <c r="AF387" s="67"/>
      <c r="AG387" s="74"/>
    </row>
    <row r="388" spans="30:33" ht="12">
      <c r="AD388" s="74"/>
      <c r="AE388" s="67"/>
      <c r="AF388" s="67"/>
      <c r="AG388" s="74"/>
    </row>
    <row r="389" spans="30:33" ht="12">
      <c r="AD389" s="74"/>
      <c r="AE389" s="67"/>
      <c r="AF389" s="67"/>
      <c r="AG389" s="74"/>
    </row>
    <row r="390" spans="30:33" ht="12">
      <c r="AD390" s="74"/>
      <c r="AE390" s="67"/>
      <c r="AF390" s="67"/>
      <c r="AG390" s="74"/>
    </row>
    <row r="391" spans="30:33" ht="12">
      <c r="AD391" s="74"/>
      <c r="AE391" s="67"/>
      <c r="AF391" s="67"/>
      <c r="AG391" s="74"/>
    </row>
    <row r="392" spans="30:33" ht="12">
      <c r="AD392" s="74"/>
      <c r="AE392" s="67"/>
      <c r="AF392" s="67"/>
      <c r="AG392" s="74"/>
    </row>
    <row r="393" spans="30:33" ht="12">
      <c r="AD393" s="74"/>
      <c r="AE393" s="67"/>
      <c r="AF393" s="67"/>
      <c r="AG393" s="74"/>
    </row>
    <row r="394" spans="30:33" ht="12">
      <c r="AD394" s="74"/>
      <c r="AE394" s="67"/>
      <c r="AF394" s="67"/>
      <c r="AG394" s="74"/>
    </row>
    <row r="395" spans="30:33" ht="12">
      <c r="AD395" s="74"/>
      <c r="AE395" s="67"/>
      <c r="AF395" s="67"/>
      <c r="AG395" s="74"/>
    </row>
    <row r="396" spans="30:33" ht="12">
      <c r="AD396" s="74"/>
      <c r="AE396" s="67"/>
      <c r="AF396" s="67"/>
      <c r="AG396" s="74"/>
    </row>
    <row r="397" spans="30:33" ht="12">
      <c r="AD397" s="74"/>
      <c r="AE397" s="67"/>
      <c r="AF397" s="67"/>
      <c r="AG397" s="74"/>
    </row>
    <row r="398" spans="30:33" ht="12">
      <c r="AD398" s="74"/>
      <c r="AE398" s="67"/>
      <c r="AF398" s="67"/>
      <c r="AG398" s="74"/>
    </row>
    <row r="399" spans="30:33" ht="12">
      <c r="AD399" s="74"/>
      <c r="AE399" s="67"/>
      <c r="AF399" s="67"/>
      <c r="AG399" s="74"/>
    </row>
    <row r="400" spans="30:33" ht="12">
      <c r="AD400" s="74"/>
      <c r="AE400" s="67"/>
      <c r="AF400" s="67"/>
      <c r="AG400" s="74"/>
    </row>
    <row r="401" spans="30:33" ht="12">
      <c r="AD401" s="74"/>
      <c r="AE401" s="67"/>
      <c r="AF401" s="67"/>
      <c r="AG401" s="74"/>
    </row>
    <row r="402" spans="30:33" ht="12">
      <c r="AD402" s="74"/>
      <c r="AE402" s="67"/>
      <c r="AF402" s="67"/>
      <c r="AG402" s="74"/>
    </row>
    <row r="403" spans="30:33" ht="12">
      <c r="AD403" s="74"/>
      <c r="AE403" s="67"/>
      <c r="AF403" s="67"/>
      <c r="AG403" s="74"/>
    </row>
    <row r="404" spans="30:33" ht="12">
      <c r="AD404" s="74"/>
      <c r="AE404" s="67"/>
      <c r="AF404" s="67"/>
      <c r="AG404" s="74"/>
    </row>
    <row r="405" spans="30:33" ht="12">
      <c r="AD405" s="74"/>
      <c r="AE405" s="67"/>
      <c r="AF405" s="67"/>
      <c r="AG405" s="74"/>
    </row>
    <row r="406" spans="30:33" ht="12">
      <c r="AD406" s="74"/>
      <c r="AE406" s="67"/>
      <c r="AF406" s="67"/>
      <c r="AG406" s="74"/>
    </row>
    <row r="407" spans="30:33" ht="12">
      <c r="AD407" s="74"/>
      <c r="AE407" s="67"/>
      <c r="AF407" s="67"/>
      <c r="AG407" s="74"/>
    </row>
    <row r="408" spans="30:33" ht="12">
      <c r="AD408" s="74"/>
      <c r="AE408" s="67"/>
      <c r="AF408" s="67"/>
      <c r="AG408" s="74"/>
    </row>
    <row r="409" spans="30:33" ht="12">
      <c r="AD409" s="74"/>
      <c r="AE409" s="67"/>
      <c r="AF409" s="67"/>
      <c r="AG409" s="74"/>
    </row>
    <row r="410" spans="30:33" ht="12">
      <c r="AD410" s="74"/>
      <c r="AE410" s="67"/>
      <c r="AF410" s="67"/>
      <c r="AG410" s="74"/>
    </row>
    <row r="411" spans="30:33" ht="12">
      <c r="AD411" s="74"/>
      <c r="AE411" s="67"/>
      <c r="AF411" s="67"/>
      <c r="AG411" s="74"/>
    </row>
    <row r="412" spans="30:33" ht="12">
      <c r="AD412" s="74"/>
      <c r="AE412" s="67"/>
      <c r="AF412" s="67"/>
      <c r="AG412" s="74"/>
    </row>
    <row r="413" spans="30:33" ht="12">
      <c r="AD413" s="74"/>
      <c r="AE413" s="67"/>
      <c r="AF413" s="67"/>
      <c r="AG413" s="74"/>
    </row>
    <row r="414" spans="30:33" ht="12">
      <c r="AD414" s="74"/>
      <c r="AE414" s="67"/>
      <c r="AF414" s="67"/>
      <c r="AG414" s="74"/>
    </row>
    <row r="415" spans="30:33" ht="12">
      <c r="AD415" s="74"/>
      <c r="AE415" s="67"/>
      <c r="AF415" s="67"/>
      <c r="AG415" s="74"/>
    </row>
    <row r="416" spans="30:33" ht="12">
      <c r="AD416" s="74"/>
      <c r="AE416" s="67"/>
      <c r="AF416" s="67"/>
      <c r="AG416" s="74"/>
    </row>
    <row r="417" spans="30:33" ht="12">
      <c r="AD417" s="74"/>
      <c r="AE417" s="67"/>
      <c r="AF417" s="67"/>
      <c r="AG417" s="74"/>
    </row>
    <row r="418" spans="30:33" ht="12">
      <c r="AD418" s="74"/>
      <c r="AE418" s="67"/>
      <c r="AF418" s="67"/>
      <c r="AG418" s="74"/>
    </row>
    <row r="419" spans="30:33" ht="12">
      <c r="AD419" s="74"/>
      <c r="AE419" s="67"/>
      <c r="AF419" s="67"/>
      <c r="AG419" s="74"/>
    </row>
    <row r="420" spans="30:33" ht="12">
      <c r="AD420" s="74"/>
      <c r="AE420" s="67"/>
      <c r="AF420" s="67"/>
      <c r="AG420" s="74"/>
    </row>
    <row r="421" spans="30:33" ht="12">
      <c r="AD421" s="74"/>
      <c r="AE421" s="67"/>
      <c r="AF421" s="67"/>
      <c r="AG421" s="74"/>
    </row>
    <row r="422" spans="30:33" ht="12">
      <c r="AD422" s="74"/>
      <c r="AE422" s="67"/>
      <c r="AF422" s="67"/>
      <c r="AG422" s="74"/>
    </row>
    <row r="423" spans="30:33" ht="12">
      <c r="AD423" s="74"/>
      <c r="AE423" s="67"/>
      <c r="AF423" s="67"/>
      <c r="AG423" s="74"/>
    </row>
    <row r="424" spans="30:33" ht="12">
      <c r="AD424" s="74"/>
      <c r="AE424" s="67"/>
      <c r="AF424" s="67"/>
      <c r="AG424" s="74"/>
    </row>
    <row r="425" spans="30:33" ht="12">
      <c r="AD425" s="74"/>
      <c r="AE425" s="67"/>
      <c r="AF425" s="67"/>
      <c r="AG425" s="74"/>
    </row>
    <row r="426" spans="30:33" ht="12">
      <c r="AD426" s="74"/>
      <c r="AE426" s="67"/>
      <c r="AF426" s="67"/>
      <c r="AG426" s="74"/>
    </row>
    <row r="427" spans="30:33" ht="12">
      <c r="AD427" s="74"/>
      <c r="AE427" s="67"/>
      <c r="AF427" s="67"/>
      <c r="AG427" s="74"/>
    </row>
    <row r="428" spans="30:33" ht="12">
      <c r="AD428" s="74"/>
      <c r="AE428" s="67"/>
      <c r="AF428" s="67"/>
      <c r="AG428" s="74"/>
    </row>
    <row r="429" spans="30:33" ht="12">
      <c r="AD429" s="74"/>
      <c r="AE429" s="67"/>
      <c r="AF429" s="67"/>
      <c r="AG429" s="74"/>
    </row>
    <row r="430" spans="30:33" ht="12">
      <c r="AD430" s="74"/>
      <c r="AE430" s="67"/>
      <c r="AF430" s="67"/>
      <c r="AG430" s="74"/>
    </row>
    <row r="431" spans="30:33" ht="12">
      <c r="AD431" s="74"/>
      <c r="AE431" s="67"/>
      <c r="AF431" s="67"/>
      <c r="AG431" s="74"/>
    </row>
    <row r="432" spans="30:33" ht="12">
      <c r="AD432" s="74"/>
      <c r="AE432" s="67"/>
      <c r="AF432" s="67"/>
      <c r="AG432" s="74"/>
    </row>
    <row r="433" spans="30:33" ht="12">
      <c r="AD433" s="74"/>
      <c r="AE433" s="67"/>
      <c r="AF433" s="67"/>
      <c r="AG433" s="74"/>
    </row>
    <row r="434" spans="30:33" ht="12">
      <c r="AD434" s="74"/>
      <c r="AE434" s="67"/>
      <c r="AF434" s="67"/>
      <c r="AG434" s="74"/>
    </row>
    <row r="435" spans="30:33" ht="12">
      <c r="AD435" s="74"/>
      <c r="AE435" s="67"/>
      <c r="AF435" s="67"/>
      <c r="AG435" s="74"/>
    </row>
    <row r="436" spans="30:33" ht="12">
      <c r="AD436" s="74"/>
      <c r="AE436" s="67"/>
      <c r="AF436" s="67"/>
      <c r="AG436" s="74"/>
    </row>
    <row r="437" spans="30:33" ht="12">
      <c r="AD437" s="74"/>
      <c r="AE437" s="67"/>
      <c r="AF437" s="67"/>
      <c r="AG437" s="74"/>
    </row>
    <row r="438" spans="30:33" ht="12">
      <c r="AD438" s="74"/>
      <c r="AE438" s="67"/>
      <c r="AF438" s="67"/>
      <c r="AG438" s="74"/>
    </row>
    <row r="439" spans="30:33" ht="12">
      <c r="AD439" s="74"/>
      <c r="AE439" s="67"/>
      <c r="AF439" s="67"/>
      <c r="AG439" s="74"/>
    </row>
    <row r="440" spans="30:33" ht="12">
      <c r="AD440" s="74"/>
      <c r="AE440" s="67"/>
      <c r="AF440" s="67"/>
      <c r="AG440" s="74"/>
    </row>
    <row r="441" spans="30:33" ht="12">
      <c r="AD441" s="74"/>
      <c r="AE441" s="67"/>
      <c r="AF441" s="67"/>
      <c r="AG441" s="74"/>
    </row>
    <row r="442" spans="30:33" ht="12">
      <c r="AD442" s="74"/>
      <c r="AE442" s="67"/>
      <c r="AF442" s="67"/>
      <c r="AG442" s="74"/>
    </row>
    <row r="443" spans="30:33" ht="12">
      <c r="AD443" s="74"/>
      <c r="AE443" s="67"/>
      <c r="AF443" s="67"/>
      <c r="AG443" s="74"/>
    </row>
    <row r="444" spans="30:33" ht="12">
      <c r="AD444" s="74"/>
      <c r="AE444" s="67"/>
      <c r="AF444" s="67"/>
      <c r="AG444" s="74"/>
    </row>
    <row r="445" spans="30:33" ht="12">
      <c r="AD445" s="74"/>
      <c r="AE445" s="67"/>
      <c r="AF445" s="67"/>
      <c r="AG445" s="74"/>
    </row>
    <row r="446" spans="30:33" ht="12">
      <c r="AD446" s="74"/>
      <c r="AE446" s="67"/>
      <c r="AF446" s="67"/>
      <c r="AG446" s="74"/>
    </row>
    <row r="447" spans="30:33" ht="12">
      <c r="AD447" s="74"/>
      <c r="AE447" s="67"/>
      <c r="AF447" s="67"/>
      <c r="AG447" s="74"/>
    </row>
    <row r="448" spans="30:33" ht="12">
      <c r="AD448" s="74"/>
      <c r="AE448" s="67"/>
      <c r="AF448" s="67"/>
      <c r="AG448" s="74"/>
    </row>
    <row r="449" spans="30:33" ht="12">
      <c r="AD449" s="74"/>
      <c r="AE449" s="67"/>
      <c r="AF449" s="67"/>
      <c r="AG449" s="74"/>
    </row>
    <row r="450" spans="30:33" ht="12">
      <c r="AD450" s="74"/>
      <c r="AE450" s="67"/>
      <c r="AF450" s="67"/>
      <c r="AG450" s="74"/>
    </row>
    <row r="451" spans="30:33" ht="12">
      <c r="AD451" s="74"/>
      <c r="AE451" s="67"/>
      <c r="AF451" s="67"/>
      <c r="AG451" s="74"/>
    </row>
    <row r="452" spans="30:33" ht="12">
      <c r="AD452" s="74"/>
      <c r="AE452" s="67"/>
      <c r="AF452" s="67"/>
      <c r="AG452" s="74"/>
    </row>
    <row r="453" spans="30:33" ht="12">
      <c r="AD453" s="74"/>
      <c r="AE453" s="67"/>
      <c r="AF453" s="67"/>
      <c r="AG453" s="74"/>
    </row>
    <row r="454" spans="30:33" ht="12">
      <c r="AD454" s="74"/>
      <c r="AE454" s="67"/>
      <c r="AF454" s="67"/>
      <c r="AG454" s="74"/>
    </row>
    <row r="455" spans="30:33" ht="12">
      <c r="AD455" s="74"/>
      <c r="AE455" s="67"/>
      <c r="AF455" s="67"/>
      <c r="AG455" s="74"/>
    </row>
    <row r="456" spans="30:33" ht="12">
      <c r="AD456" s="74"/>
      <c r="AE456" s="67"/>
      <c r="AF456" s="67"/>
      <c r="AG456" s="74"/>
    </row>
    <row r="457" spans="30:33" ht="12">
      <c r="AD457" s="74"/>
      <c r="AE457" s="67"/>
      <c r="AF457" s="67"/>
      <c r="AG457" s="74"/>
    </row>
    <row r="458" spans="30:33" ht="12">
      <c r="AD458" s="74"/>
      <c r="AE458" s="67"/>
      <c r="AF458" s="67"/>
      <c r="AG458" s="74"/>
    </row>
    <row r="459" spans="30:33" ht="12">
      <c r="AD459" s="74"/>
      <c r="AE459" s="67"/>
      <c r="AF459" s="67"/>
      <c r="AG459" s="74"/>
    </row>
    <row r="460" spans="30:33" ht="12">
      <c r="AD460" s="74"/>
      <c r="AE460" s="67"/>
      <c r="AF460" s="67"/>
      <c r="AG460" s="74"/>
    </row>
    <row r="461" spans="30:33" ht="12">
      <c r="AD461" s="74"/>
      <c r="AE461" s="67"/>
      <c r="AF461" s="67"/>
      <c r="AG461" s="74"/>
    </row>
    <row r="462" spans="30:33" ht="12">
      <c r="AD462" s="74"/>
      <c r="AE462" s="67"/>
      <c r="AF462" s="67"/>
      <c r="AG462" s="74"/>
    </row>
    <row r="463" spans="30:33" ht="12">
      <c r="AD463" s="74"/>
      <c r="AE463" s="67"/>
      <c r="AF463" s="67"/>
      <c r="AG463" s="74"/>
    </row>
    <row r="464" spans="30:33" ht="12">
      <c r="AD464" s="74"/>
      <c r="AE464" s="67"/>
      <c r="AF464" s="67"/>
      <c r="AG464" s="74"/>
    </row>
    <row r="465" spans="30:33" ht="12">
      <c r="AD465" s="74"/>
      <c r="AE465" s="67"/>
      <c r="AF465" s="67"/>
      <c r="AG465" s="74"/>
    </row>
    <row r="466" spans="30:33" ht="12">
      <c r="AD466" s="74"/>
      <c r="AE466" s="67"/>
      <c r="AF466" s="67"/>
      <c r="AG466" s="74"/>
    </row>
    <row r="467" spans="30:33" ht="12">
      <c r="AD467" s="74"/>
      <c r="AE467" s="67"/>
      <c r="AF467" s="67"/>
      <c r="AG467" s="74"/>
    </row>
    <row r="468" spans="30:33" ht="12">
      <c r="AD468" s="74"/>
      <c r="AE468" s="67"/>
      <c r="AF468" s="67"/>
      <c r="AG468" s="74"/>
    </row>
    <row r="469" spans="30:33" ht="12">
      <c r="AD469" s="74"/>
      <c r="AE469" s="67"/>
      <c r="AF469" s="67"/>
      <c r="AG469" s="74"/>
    </row>
    <row r="470" spans="30:33" ht="12">
      <c r="AD470" s="74"/>
      <c r="AE470" s="67"/>
      <c r="AF470" s="67"/>
      <c r="AG470" s="74"/>
    </row>
    <row r="471" spans="30:33" ht="12">
      <c r="AD471" s="74"/>
      <c r="AE471" s="67"/>
      <c r="AF471" s="67"/>
      <c r="AG471" s="74"/>
    </row>
    <row r="472" spans="30:33" ht="12">
      <c r="AD472" s="74"/>
      <c r="AE472" s="67"/>
      <c r="AF472" s="67"/>
      <c r="AG472" s="74"/>
    </row>
    <row r="473" spans="30:33" ht="12">
      <c r="AD473" s="74"/>
      <c r="AE473" s="67"/>
      <c r="AF473" s="67"/>
      <c r="AG473" s="74"/>
    </row>
    <row r="474" spans="30:33" ht="12">
      <c r="AD474" s="74"/>
      <c r="AE474" s="67"/>
      <c r="AF474" s="67"/>
      <c r="AG474" s="74"/>
    </row>
    <row r="475" spans="30:33" ht="12">
      <c r="AD475" s="74"/>
      <c r="AE475" s="67"/>
      <c r="AF475" s="67"/>
      <c r="AG475" s="74"/>
    </row>
    <row r="476" spans="30:33" ht="12">
      <c r="AD476" s="74"/>
      <c r="AE476" s="67"/>
      <c r="AF476" s="67"/>
      <c r="AG476" s="74"/>
    </row>
    <row r="477" spans="30:33" ht="12">
      <c r="AD477" s="74"/>
      <c r="AE477" s="67"/>
      <c r="AF477" s="67"/>
      <c r="AG477" s="74"/>
    </row>
    <row r="478" spans="30:33" ht="12">
      <c r="AD478" s="74"/>
      <c r="AE478" s="67"/>
      <c r="AF478" s="67"/>
      <c r="AG478" s="74"/>
    </row>
    <row r="479" spans="30:33" ht="12">
      <c r="AD479" s="74"/>
      <c r="AE479" s="67"/>
      <c r="AF479" s="67"/>
      <c r="AG479" s="74"/>
    </row>
    <row r="480" spans="30:33" ht="12">
      <c r="AD480" s="74"/>
      <c r="AE480" s="67"/>
      <c r="AF480" s="67"/>
      <c r="AG480" s="74"/>
    </row>
    <row r="481" spans="30:33" ht="12">
      <c r="AD481" s="74"/>
      <c r="AE481" s="67"/>
      <c r="AF481" s="67"/>
      <c r="AG481" s="74"/>
    </row>
    <row r="482" spans="30:33" ht="12">
      <c r="AD482" s="74"/>
      <c r="AE482" s="67"/>
      <c r="AF482" s="67"/>
      <c r="AG482" s="74"/>
    </row>
    <row r="483" spans="30:33" ht="12">
      <c r="AD483" s="74"/>
      <c r="AE483" s="67"/>
      <c r="AF483" s="67"/>
      <c r="AG483" s="74"/>
    </row>
    <row r="484" spans="30:33" ht="12">
      <c r="AD484" s="74"/>
      <c r="AE484" s="67"/>
      <c r="AF484" s="67"/>
      <c r="AG484" s="74"/>
    </row>
    <row r="485" spans="30:33" ht="12">
      <c r="AD485" s="74"/>
      <c r="AE485" s="67"/>
      <c r="AF485" s="67"/>
      <c r="AG485" s="74"/>
    </row>
    <row r="486" spans="30:33" ht="12">
      <c r="AD486" s="74"/>
      <c r="AE486" s="67"/>
      <c r="AF486" s="67"/>
      <c r="AG486" s="74"/>
    </row>
    <row r="487" spans="30:33" ht="12">
      <c r="AD487" s="74"/>
      <c r="AE487" s="67"/>
      <c r="AF487" s="67"/>
      <c r="AG487" s="74"/>
    </row>
    <row r="488" spans="30:33" ht="12">
      <c r="AD488" s="74"/>
      <c r="AE488" s="67"/>
      <c r="AF488" s="67"/>
      <c r="AG488" s="74"/>
    </row>
    <row r="489" spans="30:33" ht="12">
      <c r="AD489" s="74"/>
      <c r="AE489" s="67"/>
      <c r="AF489" s="67"/>
      <c r="AG489" s="74"/>
    </row>
    <row r="490" spans="30:33" ht="12">
      <c r="AD490" s="74"/>
      <c r="AE490" s="67"/>
      <c r="AF490" s="67"/>
      <c r="AG490" s="74"/>
    </row>
    <row r="491" spans="30:33" ht="12">
      <c r="AD491" s="74"/>
      <c r="AE491" s="67"/>
      <c r="AF491" s="67"/>
      <c r="AG491" s="74"/>
    </row>
    <row r="492" spans="30:33" ht="12">
      <c r="AD492" s="74"/>
      <c r="AE492" s="67"/>
      <c r="AF492" s="67"/>
      <c r="AG492" s="74"/>
    </row>
    <row r="493" spans="30:33" ht="12">
      <c r="AD493" s="74"/>
      <c r="AE493" s="67"/>
      <c r="AF493" s="67"/>
      <c r="AG493" s="74"/>
    </row>
    <row r="494" spans="30:33" ht="12">
      <c r="AD494" s="74"/>
      <c r="AE494" s="67"/>
      <c r="AF494" s="67"/>
      <c r="AG494" s="74"/>
    </row>
    <row r="495" spans="30:33" ht="12">
      <c r="AD495" s="74"/>
      <c r="AE495" s="67"/>
      <c r="AF495" s="67"/>
      <c r="AG495" s="74"/>
    </row>
    <row r="496" spans="30:33" ht="12">
      <c r="AD496" s="74"/>
      <c r="AE496" s="67"/>
      <c r="AF496" s="67"/>
      <c r="AG496" s="74"/>
    </row>
    <row r="497" spans="30:33" ht="12">
      <c r="AD497" s="74"/>
      <c r="AE497" s="67"/>
      <c r="AF497" s="67"/>
      <c r="AG497" s="74"/>
    </row>
    <row r="498" spans="30:33" ht="12">
      <c r="AD498" s="74"/>
      <c r="AE498" s="67"/>
      <c r="AF498" s="67"/>
      <c r="AG498" s="74"/>
    </row>
    <row r="499" spans="30:33" ht="12">
      <c r="AD499" s="74"/>
      <c r="AE499" s="67"/>
      <c r="AF499" s="67"/>
      <c r="AG499" s="74"/>
    </row>
    <row r="500" spans="30:33" ht="12">
      <c r="AD500" s="74"/>
      <c r="AE500" s="67"/>
      <c r="AF500" s="67"/>
      <c r="AG500" s="74"/>
    </row>
    <row r="501" spans="30:33" ht="12">
      <c r="AD501" s="74"/>
      <c r="AE501" s="67"/>
      <c r="AF501" s="67"/>
      <c r="AG501" s="74"/>
    </row>
    <row r="502" spans="30:33" ht="12">
      <c r="AD502" s="74"/>
      <c r="AE502" s="67"/>
      <c r="AF502" s="67"/>
      <c r="AG502" s="74"/>
    </row>
    <row r="503" spans="30:33" ht="12">
      <c r="AD503" s="74"/>
      <c r="AE503" s="67"/>
      <c r="AF503" s="67"/>
      <c r="AG503" s="74"/>
    </row>
    <row r="504" spans="30:33" ht="12">
      <c r="AD504" s="74"/>
      <c r="AE504" s="67"/>
      <c r="AF504" s="67"/>
      <c r="AG504" s="74"/>
    </row>
  </sheetData>
  <mergeCells count="1">
    <mergeCell ref="A1:AB1"/>
  </mergeCells>
  <printOptions horizontalCentered="1" verticalCentered="1"/>
  <pageMargins left="0.984251968503937" right="0.15748031496062992" top="0.984251968503937" bottom="0.984251968503937" header="0" footer="0"/>
  <pageSetup horizontalDpi="300" verticalDpi="300" orientation="landscape" paperSize="5" scale="75" r:id="rId1"/>
  <headerFooter alignWithMargins="0">
    <oddFooter>&amp;L         Grupo de Presupuesto
         elaborado por M.R.S.               &amp;C&amp;D&amp;R&amp;F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 Educación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Administrativa</dc:creator>
  <cp:keywords/>
  <dc:description/>
  <cp:lastModifiedBy>JFontecha</cp:lastModifiedBy>
  <cp:lastPrinted>2005-06-01T19:20:08Z</cp:lastPrinted>
  <dcterms:created xsi:type="dcterms:W3CDTF">1999-03-10T15:38:10Z</dcterms:created>
  <dcterms:modified xsi:type="dcterms:W3CDTF">2005-06-01T20:10:51Z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-1424451846</vt:i4>
  </property>
  <property fmtid="{D5CDD505-2E9C-101B-9397-08002B2CF9AE}" pid="3" name="_EmailSubject">
    <vt:lpwstr/>
  </property>
  <property fmtid="{D5CDD505-2E9C-101B-9397-08002B2CF9AE}" pid="4" name="_AuthorEmail">
    <vt:lpwstr>MRoberts@mineducacion.gov.co</vt:lpwstr>
  </property>
  <property fmtid="{D5CDD505-2E9C-101B-9397-08002B2CF9AE}" pid="5" name="_AuthorEmailDisplayName">
    <vt:lpwstr>Martha Roberts Sánchez</vt:lpwstr>
  </property>
</Properties>
</file>