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scasas\Desktop\MEN\PND\"/>
    </mc:Choice>
  </mc:AlternateContent>
  <xr:revisionPtr revIDLastSave="0" documentId="13_ncr:1_{95201B71-B82A-4ABA-92BA-2F9AC4793324}" xr6:coauthVersionLast="40" xr6:coauthVersionMax="40" xr10:uidLastSave="{00000000-0000-0000-0000-000000000000}"/>
  <bookViews>
    <workbookView xWindow="-120" yWindow="-120" windowWidth="29040" windowHeight="15840" tabRatio="514" firstSheet="1" activeTab="4" xr2:uid="{00000000-000D-0000-FFFF-FFFF00000000}"/>
  </bookViews>
  <sheets>
    <sheet name="ANALISIS 2017 (2)" sheetId="23" state="hidden" r:id="rId1"/>
    <sheet name="Base Indicadores 1" sheetId="10" r:id="rId2"/>
    <sheet name="Hoja2" sheetId="25" state="hidden" r:id="rId3"/>
    <sheet name="Base Indicadores" sheetId="1" state="hidden" r:id="rId4"/>
    <sheet name="Tablero Seguimiento" sheetId="17" r:id="rId5"/>
    <sheet name="Hoja1" sheetId="19" state="hidden" r:id="rId6"/>
    <sheet name="RESUMEN" sheetId="7" state="hidden" r:id="rId7"/>
    <sheet name="Hoja3" sheetId="3" state="hidden" r:id="rId8"/>
    <sheet name="Hoja4" sheetId="4" state="hidden" r:id="rId9"/>
    <sheet name="Total corte diciembre" sheetId="14" state="hidden" r:id="rId10"/>
  </sheets>
  <definedNames>
    <definedName name="_xlnm._FilterDatabase" localSheetId="0" hidden="1">'ANALISIS 2017 (2)'!$A$4:$W$24</definedName>
    <definedName name="_xlnm._FilterDatabase" localSheetId="3" hidden="1">'Base Indicadores'!$A$4:$AL$82</definedName>
    <definedName name="_xlnm._FilterDatabase" localSheetId="1" hidden="1">'Base Indicadores 1'!$A$7:$AR$85</definedName>
    <definedName name="_xlnm._FilterDatabase" localSheetId="4" hidden="1">'Tablero Seguimiento'!$A$18:$O$72</definedName>
    <definedName name="_xlnm._FilterDatabase" localSheetId="9" hidden="1">'Total corte diciembre'!$B$9:$O$92</definedName>
    <definedName name="_xlnm.Print_Area" localSheetId="4">'Tablero Seguimiento'!$B$1:$O$109</definedName>
    <definedName name="_xlnm.Print_Titles" localSheetId="4">'Tablero Seguimiento'!$18:$18</definedName>
    <definedName name="_xlnm.Print_Titles" localSheetId="9">'Total corte diciembre'!$9:$9</definedName>
  </definedNames>
  <calcPr calcId="191029"/>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2" i="17" l="1"/>
  <c r="T47" i="10" l="1"/>
  <c r="AG65" i="10" l="1"/>
  <c r="AH71" i="10"/>
  <c r="T33" i="10" l="1"/>
  <c r="Z33" i="10" s="1"/>
  <c r="AG33" i="10" s="1"/>
  <c r="Y59" i="10"/>
  <c r="Z53" i="10"/>
  <c r="AG53" i="10" s="1"/>
  <c r="AG52" i="10" l="1"/>
  <c r="K60" i="17" l="1"/>
  <c r="AG54" i="10"/>
  <c r="AI54" i="10" s="1"/>
  <c r="AJ54" i="10" s="1"/>
  <c r="L78" i="17" s="1"/>
  <c r="AF66" i="10"/>
  <c r="AG66" i="10" s="1"/>
  <c r="AE66" i="10"/>
  <c r="Z68" i="10"/>
  <c r="AF68" i="10" s="1"/>
  <c r="AE68" i="10"/>
  <c r="AJ72" i="10"/>
  <c r="L81" i="17" s="1"/>
  <c r="T71" i="10"/>
  <c r="Z71" i="10" s="1"/>
  <c r="AG71" i="10" s="1"/>
  <c r="R71" i="10"/>
  <c r="X71" i="10" s="1"/>
  <c r="Y67" i="10"/>
  <c r="AF67" i="10" s="1"/>
  <c r="AE67" i="10"/>
  <c r="AF56" i="10"/>
  <c r="AG56" i="10" s="1"/>
  <c r="AE56" i="10"/>
  <c r="AF51" i="10"/>
  <c r="AG51" i="10" s="1"/>
  <c r="AE51" i="10"/>
  <c r="AF62" i="10"/>
  <c r="AG62" i="10" s="1"/>
  <c r="AE62" i="10"/>
  <c r="Z69" i="10"/>
  <c r="AF69" i="10" s="1"/>
  <c r="AE69" i="10"/>
  <c r="AF57" i="10"/>
  <c r="AG57" i="10" s="1"/>
  <c r="AE57" i="10"/>
  <c r="AF58" i="10"/>
  <c r="AG58" i="10" s="1"/>
  <c r="AE58" i="10"/>
  <c r="AF61" i="10"/>
  <c r="AE61" i="10"/>
  <c r="AF60" i="10"/>
  <c r="AG60" i="10" s="1"/>
  <c r="AE60" i="10"/>
  <c r="AF59" i="10"/>
  <c r="AH59" i="10" s="1"/>
  <c r="AE59" i="10"/>
  <c r="Z73" i="10"/>
  <c r="AG73" i="10" s="1"/>
  <c r="AE73" i="10"/>
  <c r="T63" i="10"/>
  <c r="Y63" i="10" s="1"/>
  <c r="AF63" i="10" s="1"/>
  <c r="AE63" i="10"/>
  <c r="AF55" i="10"/>
  <c r="AG55" i="10" s="1"/>
  <c r="AE55" i="10"/>
  <c r="AF70" i="10"/>
  <c r="AG70" i="10" s="1"/>
  <c r="AE70" i="10"/>
  <c r="T82" i="10"/>
  <c r="Z82" i="10" s="1"/>
  <c r="R82" i="10"/>
  <c r="X82" i="10" s="1"/>
  <c r="AE82" i="10" s="1"/>
  <c r="K98" i="17"/>
  <c r="AE65" i="10"/>
  <c r="T64" i="10"/>
  <c r="Z64" i="10" s="1"/>
  <c r="R64" i="10"/>
  <c r="X64" i="10" s="1"/>
  <c r="AE64" i="10" s="1"/>
  <c r="AE53" i="10"/>
  <c r="K106" i="17"/>
  <c r="AE52" i="10"/>
  <c r="M33" i="17"/>
  <c r="Y42" i="10"/>
  <c r="Z42" i="10" s="1"/>
  <c r="AA23" i="10"/>
  <c r="AA22" i="10"/>
  <c r="AH47" i="10"/>
  <c r="AA47" i="10"/>
  <c r="U47" i="10"/>
  <c r="P47" i="10"/>
  <c r="AB25" i="10"/>
  <c r="AA25" i="10"/>
  <c r="V25" i="10"/>
  <c r="U25" i="10"/>
  <c r="P25" i="10"/>
  <c r="U63" i="10"/>
  <c r="P63" i="10"/>
  <c r="P15" i="10"/>
  <c r="AA14" i="10"/>
  <c r="U14" i="10"/>
  <c r="P18" i="10"/>
  <c r="Z83" i="10"/>
  <c r="AF83" i="10" s="1"/>
  <c r="AG75" i="10"/>
  <c r="K72" i="17" s="1"/>
  <c r="AG74" i="10"/>
  <c r="K71" i="17" s="1"/>
  <c r="AG50" i="10"/>
  <c r="K33" i="17" s="1"/>
  <c r="AG38" i="10"/>
  <c r="K32" i="17" s="1"/>
  <c r="W79" i="25"/>
  <c r="Q79" i="25"/>
  <c r="R79" i="25"/>
  <c r="T79" i="25"/>
  <c r="N79" i="25"/>
  <c r="M79" i="25"/>
  <c r="H79" i="25"/>
  <c r="X78" i="25"/>
  <c r="Y78" i="25"/>
  <c r="W78" i="25"/>
  <c r="AA78" i="25"/>
  <c r="AB78" i="25"/>
  <c r="T78" i="25"/>
  <c r="S78" i="25"/>
  <c r="N78" i="25"/>
  <c r="M78" i="25"/>
  <c r="H78" i="25"/>
  <c r="X77" i="25"/>
  <c r="Z77" i="25"/>
  <c r="W77" i="25"/>
  <c r="T77" i="25"/>
  <c r="S77" i="25"/>
  <c r="N77" i="25"/>
  <c r="M77" i="25"/>
  <c r="H77" i="25"/>
  <c r="Z76" i="25"/>
  <c r="S76" i="25"/>
  <c r="M76" i="25"/>
  <c r="L76" i="25"/>
  <c r="R76" i="25"/>
  <c r="J76" i="25"/>
  <c r="P76" i="25"/>
  <c r="W76" i="25"/>
  <c r="H76" i="25"/>
  <c r="W75" i="25"/>
  <c r="Q75" i="25"/>
  <c r="R75" i="25"/>
  <c r="T75" i="25"/>
  <c r="N75" i="25"/>
  <c r="M75" i="25"/>
  <c r="H75" i="25"/>
  <c r="Z74" i="25"/>
  <c r="S74" i="25"/>
  <c r="P74" i="25"/>
  <c r="W74" i="25"/>
  <c r="M74" i="25"/>
  <c r="L74" i="25"/>
  <c r="R74" i="25"/>
  <c r="Y74" i="25"/>
  <c r="X73" i="25"/>
  <c r="Z73" i="25"/>
  <c r="W73" i="25"/>
  <c r="S73" i="25"/>
  <c r="R73" i="25"/>
  <c r="T73" i="25"/>
  <c r="N73" i="25"/>
  <c r="M73" i="25"/>
  <c r="H73" i="25"/>
  <c r="X72" i="25"/>
  <c r="Y72" i="25"/>
  <c r="W72" i="25"/>
  <c r="T72" i="25"/>
  <c r="S72" i="25"/>
  <c r="N72" i="25"/>
  <c r="I72" i="25"/>
  <c r="M72" i="25"/>
  <c r="H72" i="25"/>
  <c r="Z71" i="25"/>
  <c r="Y71" i="25"/>
  <c r="W71" i="25"/>
  <c r="T71" i="25"/>
  <c r="S71" i="25"/>
  <c r="N71" i="25"/>
  <c r="M71" i="25"/>
  <c r="H71" i="25"/>
  <c r="Z70" i="25"/>
  <c r="W70" i="25"/>
  <c r="S70" i="25"/>
  <c r="R70" i="25"/>
  <c r="Y70" i="25"/>
  <c r="K70" i="25"/>
  <c r="M70" i="25"/>
  <c r="J70" i="25"/>
  <c r="P70" i="25"/>
  <c r="H70" i="25"/>
  <c r="X69" i="25"/>
  <c r="Z69" i="25"/>
  <c r="W69" i="25"/>
  <c r="T69" i="25"/>
  <c r="S69" i="25"/>
  <c r="N69" i="25"/>
  <c r="M69" i="25"/>
  <c r="H69" i="25"/>
  <c r="X68" i="25"/>
  <c r="Z68" i="25"/>
  <c r="W68" i="25"/>
  <c r="T68" i="25"/>
  <c r="S68" i="25"/>
  <c r="N68" i="25"/>
  <c r="K68" i="25"/>
  <c r="I68" i="25"/>
  <c r="H68" i="25"/>
  <c r="Z67" i="25"/>
  <c r="W67" i="25"/>
  <c r="S67" i="25"/>
  <c r="R67" i="25"/>
  <c r="T67" i="25"/>
  <c r="K67" i="25"/>
  <c r="N67" i="25"/>
  <c r="J67" i="25"/>
  <c r="H67" i="25"/>
  <c r="AB66" i="25"/>
  <c r="X66" i="25"/>
  <c r="Y66" i="25"/>
  <c r="W66" i="25"/>
  <c r="Z65" i="25"/>
  <c r="S65" i="25"/>
  <c r="M65" i="25"/>
  <c r="L65" i="25"/>
  <c r="R65" i="25"/>
  <c r="J65" i="25"/>
  <c r="P65" i="25"/>
  <c r="W65" i="25"/>
  <c r="H65" i="25"/>
  <c r="X64" i="25"/>
  <c r="Z64" i="25"/>
  <c r="W64" i="25"/>
  <c r="S64" i="25"/>
  <c r="R64" i="25"/>
  <c r="T64" i="25"/>
  <c r="N64" i="25"/>
  <c r="M64" i="25"/>
  <c r="H64" i="25"/>
  <c r="W63" i="25"/>
  <c r="S63" i="25"/>
  <c r="R63" i="25"/>
  <c r="X63" i="25"/>
  <c r="N63" i="25"/>
  <c r="M63" i="25"/>
  <c r="H63" i="25"/>
  <c r="W62" i="25"/>
  <c r="S62" i="25"/>
  <c r="R62" i="25"/>
  <c r="T62" i="25"/>
  <c r="N62" i="25"/>
  <c r="M62" i="25"/>
  <c r="H62" i="25"/>
  <c r="W61" i="25"/>
  <c r="Q61" i="25"/>
  <c r="R61" i="25"/>
  <c r="T61" i="25"/>
  <c r="N61" i="25"/>
  <c r="M61" i="25"/>
  <c r="H61" i="25"/>
  <c r="X60" i="25"/>
  <c r="Z60" i="25"/>
  <c r="W60" i="25"/>
  <c r="S60" i="25"/>
  <c r="R60" i="25"/>
  <c r="T60" i="25"/>
  <c r="P60" i="25"/>
  <c r="N60" i="25"/>
  <c r="M60" i="25"/>
  <c r="H60" i="25"/>
  <c r="Z59" i="25"/>
  <c r="Y59" i="25"/>
  <c r="W59" i="25"/>
  <c r="T59" i="25"/>
  <c r="S59" i="25"/>
  <c r="N59" i="25"/>
  <c r="M59" i="25"/>
  <c r="H59" i="25"/>
  <c r="Z58" i="25"/>
  <c r="S58" i="25"/>
  <c r="M58" i="25"/>
  <c r="L58" i="25"/>
  <c r="N58" i="25"/>
  <c r="J58" i="25"/>
  <c r="P58" i="25"/>
  <c r="W58" i="25"/>
  <c r="H58" i="25"/>
  <c r="W57" i="25"/>
  <c r="Q57" i="25"/>
  <c r="X57" i="25"/>
  <c r="N57" i="25"/>
  <c r="M57" i="25"/>
  <c r="H57" i="25"/>
  <c r="X56" i="25"/>
  <c r="Z56" i="25"/>
  <c r="W56" i="25"/>
  <c r="T56" i="25"/>
  <c r="S56" i="25"/>
  <c r="N56" i="25"/>
  <c r="M56" i="25"/>
  <c r="H56" i="25"/>
  <c r="X55" i="25"/>
  <c r="Y55" i="25"/>
  <c r="W55" i="25"/>
  <c r="T55" i="25"/>
  <c r="S55" i="25"/>
  <c r="N55" i="25"/>
  <c r="M55" i="25"/>
  <c r="H55" i="25"/>
  <c r="X54" i="25"/>
  <c r="Z54" i="25"/>
  <c r="W54" i="25"/>
  <c r="T54" i="25"/>
  <c r="S54" i="25"/>
  <c r="N54" i="25"/>
  <c r="M54" i="25"/>
  <c r="H54" i="25"/>
  <c r="W53" i="25"/>
  <c r="Q53" i="25"/>
  <c r="X53" i="25"/>
  <c r="Y53" i="25"/>
  <c r="N53" i="25"/>
  <c r="M53" i="25"/>
  <c r="H53" i="25"/>
  <c r="X52" i="25"/>
  <c r="Y52" i="25"/>
  <c r="W52" i="25"/>
  <c r="R52" i="25"/>
  <c r="T52" i="25"/>
  <c r="P52" i="25"/>
  <c r="O52" i="25"/>
  <c r="S52" i="25"/>
  <c r="M52" i="25"/>
  <c r="L52" i="25"/>
  <c r="N52" i="25"/>
  <c r="J52" i="25"/>
  <c r="G52" i="25"/>
  <c r="F52" i="25"/>
  <c r="D52" i="25"/>
  <c r="X51" i="25"/>
  <c r="Y51" i="25"/>
  <c r="W51" i="25"/>
  <c r="T51" i="25"/>
  <c r="S51" i="25"/>
  <c r="N51" i="25"/>
  <c r="M51" i="25"/>
  <c r="H51" i="25"/>
  <c r="X50" i="25"/>
  <c r="Z50" i="25"/>
  <c r="W50" i="25"/>
  <c r="S50" i="25"/>
  <c r="R50" i="25"/>
  <c r="T50" i="25"/>
  <c r="M50" i="25"/>
  <c r="L50" i="25"/>
  <c r="N50" i="25"/>
  <c r="H50" i="25"/>
  <c r="X49" i="25"/>
  <c r="Y49" i="25"/>
  <c r="W49" i="25"/>
  <c r="S49" i="25"/>
  <c r="R49" i="25"/>
  <c r="T49" i="25"/>
  <c r="M49" i="25"/>
  <c r="L49" i="25"/>
  <c r="N49" i="25"/>
  <c r="H49" i="25"/>
  <c r="Z48" i="25"/>
  <c r="Y48" i="25"/>
  <c r="AA48" i="25"/>
  <c r="AB48" i="25"/>
  <c r="W48" i="25"/>
  <c r="T48" i="25"/>
  <c r="S48" i="25"/>
  <c r="N48" i="25"/>
  <c r="M48" i="25"/>
  <c r="H48" i="25"/>
  <c r="Z47" i="25"/>
  <c r="Y47" i="25"/>
  <c r="W47" i="25"/>
  <c r="T47" i="25"/>
  <c r="S47" i="25"/>
  <c r="N47" i="25"/>
  <c r="M47" i="25"/>
  <c r="H47" i="25"/>
  <c r="Z46" i="25"/>
  <c r="Y46" i="25"/>
  <c r="W46" i="25"/>
  <c r="T46" i="25"/>
  <c r="S46" i="25"/>
  <c r="N46" i="25"/>
  <c r="M46" i="25"/>
  <c r="H46" i="25"/>
  <c r="X45" i="25"/>
  <c r="Z45" i="25"/>
  <c r="W45" i="25"/>
  <c r="T45" i="25"/>
  <c r="S45" i="25"/>
  <c r="N45" i="25"/>
  <c r="M45" i="25"/>
  <c r="H45" i="25"/>
  <c r="Z44" i="25"/>
  <c r="W44" i="25"/>
  <c r="AA44" i="25"/>
  <c r="AB44" i="25"/>
  <c r="T44" i="25"/>
  <c r="S44" i="25"/>
  <c r="N44" i="25"/>
  <c r="M44" i="25"/>
  <c r="H44" i="25"/>
  <c r="X43" i="25"/>
  <c r="Z43" i="25"/>
  <c r="W43" i="25"/>
  <c r="AA43" i="25"/>
  <c r="AB43" i="25"/>
  <c r="T43" i="25"/>
  <c r="S43" i="25"/>
  <c r="N43" i="25"/>
  <c r="M43" i="25"/>
  <c r="H43" i="25"/>
  <c r="X42" i="25"/>
  <c r="Z42" i="25"/>
  <c r="W42" i="25"/>
  <c r="T42" i="25"/>
  <c r="S42" i="25"/>
  <c r="N42" i="25"/>
  <c r="M42" i="25"/>
  <c r="H42" i="25"/>
  <c r="Z41" i="25"/>
  <c r="Y41" i="25"/>
  <c r="AA41" i="25"/>
  <c r="AB41" i="25"/>
  <c r="W41" i="25"/>
  <c r="T41" i="25"/>
  <c r="S41" i="25"/>
  <c r="N41" i="25"/>
  <c r="M41" i="25"/>
  <c r="H41" i="25"/>
  <c r="W40" i="25"/>
  <c r="Q40" i="25"/>
  <c r="S40" i="25"/>
  <c r="N40" i="25"/>
  <c r="M40" i="25"/>
  <c r="H40" i="25"/>
  <c r="Z39" i="25"/>
  <c r="S39" i="25"/>
  <c r="M39" i="25"/>
  <c r="L39" i="25"/>
  <c r="N39" i="25"/>
  <c r="J39" i="25"/>
  <c r="P39" i="25"/>
  <c r="W39" i="25"/>
  <c r="H39" i="25"/>
  <c r="X38" i="25"/>
  <c r="W38" i="25"/>
  <c r="T38" i="25"/>
  <c r="S38" i="25"/>
  <c r="N38" i="25"/>
  <c r="M38" i="25"/>
  <c r="H38" i="25"/>
  <c r="Z37" i="25"/>
  <c r="Y37" i="25"/>
  <c r="AA37" i="25"/>
  <c r="AB37" i="25"/>
  <c r="T37" i="25"/>
  <c r="S37" i="25"/>
  <c r="N37" i="25"/>
  <c r="M37" i="25"/>
  <c r="H37" i="25"/>
  <c r="X36" i="25"/>
  <c r="Z36" i="25"/>
  <c r="W36" i="25"/>
  <c r="T36" i="25"/>
  <c r="S36" i="25"/>
  <c r="N36" i="25"/>
  <c r="M36" i="25"/>
  <c r="H36" i="25"/>
  <c r="X35" i="25"/>
  <c r="Y35" i="25"/>
  <c r="W35" i="25"/>
  <c r="T35" i="25"/>
  <c r="S35" i="25"/>
  <c r="N35" i="25"/>
  <c r="M35" i="25"/>
  <c r="H35" i="25"/>
  <c r="Z34" i="25"/>
  <c r="W34" i="25"/>
  <c r="AA34" i="25"/>
  <c r="AB34" i="25"/>
  <c r="T34" i="25"/>
  <c r="S34" i="25"/>
  <c r="N34" i="25"/>
  <c r="M34" i="25"/>
  <c r="H34" i="25"/>
  <c r="Z33" i="25"/>
  <c r="W33" i="25"/>
  <c r="AA33" i="25"/>
  <c r="AB33" i="25"/>
  <c r="T33" i="25"/>
  <c r="S33" i="25"/>
  <c r="N33" i="25"/>
  <c r="M33" i="25"/>
  <c r="H33" i="25"/>
  <c r="Z32" i="25"/>
  <c r="W32" i="25"/>
  <c r="AA32" i="25"/>
  <c r="AB32" i="25"/>
  <c r="T32" i="25"/>
  <c r="S32" i="25"/>
  <c r="N32" i="25"/>
  <c r="M32" i="25"/>
  <c r="H32" i="25"/>
  <c r="Z31" i="25"/>
  <c r="W31" i="25"/>
  <c r="AA31" i="25"/>
  <c r="AB31" i="25"/>
  <c r="T31" i="25"/>
  <c r="S31" i="25"/>
  <c r="N31" i="25"/>
  <c r="M31" i="25"/>
  <c r="H31" i="25"/>
  <c r="X30" i="25"/>
  <c r="Z30" i="25"/>
  <c r="W30" i="25"/>
  <c r="S30" i="25"/>
  <c r="R30" i="25"/>
  <c r="T30" i="25"/>
  <c r="N30" i="25"/>
  <c r="M30" i="25"/>
  <c r="H30" i="25"/>
  <c r="Z29" i="25"/>
  <c r="W29" i="25"/>
  <c r="AA29" i="25"/>
  <c r="AB29" i="25"/>
  <c r="T29" i="25"/>
  <c r="S29" i="25"/>
  <c r="N29" i="25"/>
  <c r="M29" i="25"/>
  <c r="H29" i="25"/>
  <c r="X28" i="25"/>
  <c r="Z28" i="25"/>
  <c r="T28" i="25"/>
  <c r="S28" i="25"/>
  <c r="N28" i="25"/>
  <c r="M28" i="25"/>
  <c r="H28" i="25"/>
  <c r="W27" i="25"/>
  <c r="V27" i="25"/>
  <c r="Z27" i="25"/>
  <c r="T27" i="25"/>
  <c r="O27" i="25"/>
  <c r="S27" i="25"/>
  <c r="N27" i="25"/>
  <c r="M27" i="25"/>
  <c r="J27" i="25"/>
  <c r="H27" i="25"/>
  <c r="X26" i="25"/>
  <c r="Y26" i="25"/>
  <c r="W26" i="25"/>
  <c r="S26" i="25"/>
  <c r="R26" i="25"/>
  <c r="T26" i="25"/>
  <c r="N26" i="25"/>
  <c r="M26" i="25"/>
  <c r="H26" i="25"/>
  <c r="X25" i="25"/>
  <c r="Z25" i="25"/>
  <c r="W25" i="25"/>
  <c r="T25" i="25"/>
  <c r="S25" i="25"/>
  <c r="N25" i="25"/>
  <c r="M25" i="25"/>
  <c r="H25" i="25"/>
  <c r="Z24" i="25"/>
  <c r="Y24" i="25"/>
  <c r="W24" i="25"/>
  <c r="T24" i="25"/>
  <c r="S24" i="25"/>
  <c r="N24" i="25"/>
  <c r="M24" i="25"/>
  <c r="G24" i="25"/>
  <c r="F24" i="25"/>
  <c r="X23" i="25"/>
  <c r="Z23" i="25"/>
  <c r="W23" i="25"/>
  <c r="T23" i="25"/>
  <c r="S23" i="25"/>
  <c r="N23" i="25"/>
  <c r="M23" i="25"/>
  <c r="H23" i="25"/>
  <c r="X22" i="25"/>
  <c r="Y22" i="25"/>
  <c r="W22" i="25"/>
  <c r="T22" i="25"/>
  <c r="S22" i="25"/>
  <c r="N22" i="25"/>
  <c r="M22" i="25"/>
  <c r="H22" i="25"/>
  <c r="W21" i="25"/>
  <c r="R21" i="25"/>
  <c r="T21" i="25"/>
  <c r="Q21" i="25"/>
  <c r="X21" i="25"/>
  <c r="N21" i="25"/>
  <c r="M21" i="25"/>
  <c r="H21" i="25"/>
  <c r="Z20" i="25"/>
  <c r="Y20" i="25"/>
  <c r="W20" i="25"/>
  <c r="T20" i="25"/>
  <c r="Q20" i="25"/>
  <c r="S20" i="25"/>
  <c r="N20" i="25"/>
  <c r="K20" i="25"/>
  <c r="M20" i="25"/>
  <c r="H20" i="25"/>
  <c r="X19" i="25"/>
  <c r="Z19" i="25"/>
  <c r="W19" i="25"/>
  <c r="T19" i="25"/>
  <c r="S19" i="25"/>
  <c r="N19" i="25"/>
  <c r="M19" i="25"/>
  <c r="H19" i="25"/>
  <c r="X18" i="25"/>
  <c r="Z18" i="25"/>
  <c r="W18" i="25"/>
  <c r="T18" i="25"/>
  <c r="S18" i="25"/>
  <c r="N18" i="25"/>
  <c r="M18" i="25"/>
  <c r="H18" i="25"/>
  <c r="Z17" i="25"/>
  <c r="W17" i="25"/>
  <c r="AA17" i="25"/>
  <c r="AB17" i="25"/>
  <c r="T17" i="25"/>
  <c r="S17" i="25"/>
  <c r="N17" i="25"/>
  <c r="M17" i="25"/>
  <c r="H17" i="25"/>
  <c r="X16" i="25"/>
  <c r="Z16" i="25"/>
  <c r="W16" i="25"/>
  <c r="T16" i="25"/>
  <c r="S16" i="25"/>
  <c r="N16" i="25"/>
  <c r="M16" i="25"/>
  <c r="H16" i="25"/>
  <c r="X15" i="25"/>
  <c r="Z15" i="25"/>
  <c r="W15" i="25"/>
  <c r="T15" i="25"/>
  <c r="S15" i="25"/>
  <c r="N15" i="25"/>
  <c r="M15" i="25"/>
  <c r="H15" i="25"/>
  <c r="Z14" i="25"/>
  <c r="Y14" i="25"/>
  <c r="W14" i="25"/>
  <c r="AA14" i="25"/>
  <c r="AB14" i="25"/>
  <c r="T14" i="25"/>
  <c r="S14" i="25"/>
  <c r="N14" i="25"/>
  <c r="M14" i="25"/>
  <c r="H14" i="25"/>
  <c r="X13" i="25"/>
  <c r="Z13" i="25"/>
  <c r="W13" i="25"/>
  <c r="T13" i="25"/>
  <c r="S13" i="25"/>
  <c r="N13" i="25"/>
  <c r="M13" i="25"/>
  <c r="H13" i="25"/>
  <c r="AA12" i="25"/>
  <c r="AB12" i="25"/>
  <c r="V12" i="25"/>
  <c r="Z12" i="25"/>
  <c r="T12" i="25"/>
  <c r="S12" i="25"/>
  <c r="N12" i="25"/>
  <c r="M12" i="25"/>
  <c r="H12" i="25"/>
  <c r="Z11" i="25"/>
  <c r="S11" i="25"/>
  <c r="K11" i="25"/>
  <c r="L11" i="25"/>
  <c r="F11" i="25"/>
  <c r="J11" i="25"/>
  <c r="P11" i="25"/>
  <c r="W11" i="25"/>
  <c r="Z10" i="25"/>
  <c r="W10" i="25"/>
  <c r="AA10" i="25"/>
  <c r="AB10" i="25"/>
  <c r="T10" i="25"/>
  <c r="S10" i="25"/>
  <c r="N10" i="25"/>
  <c r="M10" i="25"/>
  <c r="H10" i="25"/>
  <c r="X9" i="25"/>
  <c r="Z9" i="25"/>
  <c r="W9" i="25"/>
  <c r="S9" i="25"/>
  <c r="R9" i="25"/>
  <c r="T9" i="25"/>
  <c r="N9" i="25"/>
  <c r="M9" i="25"/>
  <c r="H9" i="25"/>
  <c r="X8" i="25"/>
  <c r="Y8" i="25"/>
  <c r="W8" i="25"/>
  <c r="S8" i="25"/>
  <c r="R8" i="25"/>
  <c r="T8" i="25"/>
  <c r="N8" i="25"/>
  <c r="M8" i="25"/>
  <c r="H8" i="25"/>
  <c r="Z7" i="25"/>
  <c r="O7" i="25"/>
  <c r="S7" i="25"/>
  <c r="M7" i="25"/>
  <c r="L7" i="25"/>
  <c r="N7" i="25"/>
  <c r="J7" i="25"/>
  <c r="H7" i="25"/>
  <c r="X6" i="25"/>
  <c r="Y6" i="25"/>
  <c r="W6" i="25"/>
  <c r="S6" i="25"/>
  <c r="R6" i="25"/>
  <c r="T6" i="25"/>
  <c r="N6" i="25"/>
  <c r="M6" i="25"/>
  <c r="H6" i="25"/>
  <c r="Y5" i="25"/>
  <c r="X5" i="25"/>
  <c r="Z5" i="25"/>
  <c r="AB5" i="25"/>
  <c r="W5" i="25"/>
  <c r="T5" i="25"/>
  <c r="S5" i="25"/>
  <c r="N5" i="25"/>
  <c r="M5" i="25"/>
  <c r="H5" i="25"/>
  <c r="X4" i="25"/>
  <c r="Z4" i="25"/>
  <c r="AB4" i="25"/>
  <c r="W4" i="25"/>
  <c r="T4" i="25"/>
  <c r="S4" i="25"/>
  <c r="N4" i="25"/>
  <c r="M4" i="25"/>
  <c r="H4" i="25"/>
  <c r="W3" i="25"/>
  <c r="Q3" i="25"/>
  <c r="X3" i="25"/>
  <c r="N3" i="25"/>
  <c r="M3" i="25"/>
  <c r="H3" i="25"/>
  <c r="Y2" i="25"/>
  <c r="X2" i="25"/>
  <c r="Z2" i="25"/>
  <c r="AB2" i="25"/>
  <c r="W2" i="25"/>
  <c r="T2" i="25"/>
  <c r="S2" i="25"/>
  <c r="N2" i="25"/>
  <c r="M2" i="25"/>
  <c r="H2" i="25"/>
  <c r="H52" i="25"/>
  <c r="AA52" i="25"/>
  <c r="AB52" i="25"/>
  <c r="AA71" i="25"/>
  <c r="AB71" i="25"/>
  <c r="Z72" i="25"/>
  <c r="H24" i="25"/>
  <c r="R3" i="25"/>
  <c r="T3" i="25"/>
  <c r="Y56" i="25"/>
  <c r="AA56" i="25"/>
  <c r="AB56" i="25"/>
  <c r="S61" i="25"/>
  <c r="AA38" i="25"/>
  <c r="AB38" i="25"/>
  <c r="M11" i="25"/>
  <c r="AA46" i="25"/>
  <c r="AB46" i="25"/>
  <c r="AA47" i="25"/>
  <c r="AB47" i="25"/>
  <c r="Z8" i="25"/>
  <c r="S53" i="25"/>
  <c r="X62" i="25"/>
  <c r="Z62" i="25"/>
  <c r="X61" i="25"/>
  <c r="Y61" i="25"/>
  <c r="AA61" i="25"/>
  <c r="AB61" i="25"/>
  <c r="AA70" i="25"/>
  <c r="AB70" i="25"/>
  <c r="Y69" i="25"/>
  <c r="AA69" i="25"/>
  <c r="AB69" i="25"/>
  <c r="R7" i="25"/>
  <c r="Y7" i="25"/>
  <c r="Z52" i="25"/>
  <c r="Z35" i="25"/>
  <c r="AA72" i="25"/>
  <c r="AB72" i="25"/>
  <c r="AA6" i="25"/>
  <c r="AA26" i="25"/>
  <c r="AB26" i="25"/>
  <c r="Y67" i="25"/>
  <c r="AA67" i="25"/>
  <c r="AB67" i="25"/>
  <c r="Y73" i="25"/>
  <c r="AA73" i="25"/>
  <c r="AB73" i="25"/>
  <c r="AA5" i="25"/>
  <c r="AA24" i="25"/>
  <c r="AB24" i="25"/>
  <c r="P7" i="25"/>
  <c r="W7" i="25"/>
  <c r="AA53" i="25"/>
  <c r="AB53" i="25"/>
  <c r="AA74" i="25"/>
  <c r="AB74" i="25"/>
  <c r="AA22" i="25"/>
  <c r="AB22" i="25"/>
  <c r="AA27" i="25"/>
  <c r="AB27" i="25"/>
  <c r="R57" i="25"/>
  <c r="T57" i="25"/>
  <c r="Y60" i="25"/>
  <c r="AA60" i="25"/>
  <c r="AB60" i="25"/>
  <c r="AA2" i="25"/>
  <c r="Y42" i="25"/>
  <c r="AA42" i="25"/>
  <c r="AB42" i="25"/>
  <c r="N76" i="25"/>
  <c r="R39" i="25"/>
  <c r="T39" i="25"/>
  <c r="R53" i="25"/>
  <c r="T53" i="25"/>
  <c r="N74" i="25"/>
  <c r="AA8" i="25"/>
  <c r="AB8" i="25"/>
  <c r="Y36" i="25"/>
  <c r="AA36" i="25"/>
  <c r="AB36" i="25"/>
  <c r="Y38" i="25"/>
  <c r="S75" i="25"/>
  <c r="Y18" i="25"/>
  <c r="AA18" i="25"/>
  <c r="AB18" i="25"/>
  <c r="Z38" i="25"/>
  <c r="Y30" i="25"/>
  <c r="AA30" i="25"/>
  <c r="AB30" i="25"/>
  <c r="AA59" i="25"/>
  <c r="AB59" i="25"/>
  <c r="Y9" i="25"/>
  <c r="AA9" i="25"/>
  <c r="AB9" i="25"/>
  <c r="Z53" i="25"/>
  <c r="Y54" i="25"/>
  <c r="AA54" i="25"/>
  <c r="AB54" i="25"/>
  <c r="AA55" i="25"/>
  <c r="AB55" i="25"/>
  <c r="Y68" i="25"/>
  <c r="AA68" i="25"/>
  <c r="AB68" i="25"/>
  <c r="Z78" i="25"/>
  <c r="S21" i="25"/>
  <c r="Z55" i="25"/>
  <c r="N65" i="25"/>
  <c r="T70" i="25"/>
  <c r="AA20" i="25"/>
  <c r="AB20" i="25"/>
  <c r="Z22" i="25"/>
  <c r="Y23" i="25"/>
  <c r="AA23" i="25"/>
  <c r="AB23" i="25"/>
  <c r="AA35" i="25"/>
  <c r="AB35" i="25"/>
  <c r="M68" i="25"/>
  <c r="X75" i="25"/>
  <c r="Z75" i="25"/>
  <c r="Y4" i="25"/>
  <c r="AA4" i="25"/>
  <c r="Z6" i="25"/>
  <c r="AB6" i="25"/>
  <c r="Z26" i="25"/>
  <c r="AA49" i="25"/>
  <c r="AB49" i="25"/>
  <c r="AA51" i="25"/>
  <c r="AB51" i="25"/>
  <c r="S79" i="25"/>
  <c r="Z49" i="25"/>
  <c r="Z51" i="25"/>
  <c r="R58" i="25"/>
  <c r="Y58" i="25"/>
  <c r="AA58" i="25"/>
  <c r="AB58" i="25"/>
  <c r="N70" i="25"/>
  <c r="Z21" i="25"/>
  <c r="Y21" i="25"/>
  <c r="AA21" i="25"/>
  <c r="AB21" i="25"/>
  <c r="T65" i="25"/>
  <c r="Y65" i="25"/>
  <c r="AA65" i="25"/>
  <c r="AB65" i="25"/>
  <c r="Y63" i="25"/>
  <c r="AA63" i="25"/>
  <c r="AB63" i="25"/>
  <c r="Z63" i="25"/>
  <c r="Z3" i="25"/>
  <c r="AB3" i="25"/>
  <c r="Y3" i="25"/>
  <c r="AA3" i="25"/>
  <c r="R11" i="25"/>
  <c r="N11" i="25"/>
  <c r="T76" i="25"/>
  <c r="Y76" i="25"/>
  <c r="AA76" i="25"/>
  <c r="AB76" i="25"/>
  <c r="Z57" i="25"/>
  <c r="Y57" i="25"/>
  <c r="AA57" i="25"/>
  <c r="AB57" i="25"/>
  <c r="S3" i="25"/>
  <c r="W12" i="25"/>
  <c r="Y15" i="25"/>
  <c r="AA15" i="25"/>
  <c r="AB15" i="25"/>
  <c r="Y25" i="25"/>
  <c r="AA25" i="25"/>
  <c r="AB25" i="25"/>
  <c r="S57" i="25"/>
  <c r="Y19" i="25"/>
  <c r="AA19" i="25"/>
  <c r="AB19" i="25"/>
  <c r="Y28" i="25"/>
  <c r="AA28" i="25"/>
  <c r="AB28" i="25"/>
  <c r="Y64" i="25"/>
  <c r="AA64" i="25"/>
  <c r="AB64" i="25"/>
  <c r="X79" i="25"/>
  <c r="Y13" i="25"/>
  <c r="AA13" i="25"/>
  <c r="AB13" i="25"/>
  <c r="Y16" i="25"/>
  <c r="AA16" i="25"/>
  <c r="AB16" i="25"/>
  <c r="R40" i="25"/>
  <c r="Y45" i="25"/>
  <c r="AA45" i="25"/>
  <c r="AB45" i="25"/>
  <c r="Y50" i="25"/>
  <c r="AA50" i="25"/>
  <c r="AB50" i="25"/>
  <c r="T63" i="25"/>
  <c r="M67" i="25"/>
  <c r="T74" i="25"/>
  <c r="Y77" i="25"/>
  <c r="AA77" i="25"/>
  <c r="AB77" i="25"/>
  <c r="H11" i="25"/>
  <c r="T58" i="25"/>
  <c r="T7" i="25"/>
  <c r="Z61" i="25"/>
  <c r="AA7" i="25"/>
  <c r="AB7" i="25"/>
  <c r="Y62" i="25"/>
  <c r="AA62" i="25"/>
  <c r="AB62" i="25"/>
  <c r="Y39" i="25"/>
  <c r="AA39" i="25"/>
  <c r="AB39" i="25"/>
  <c r="Y75" i="25"/>
  <c r="AA75" i="25"/>
  <c r="AB75" i="25"/>
  <c r="T40" i="25"/>
  <c r="X40" i="25"/>
  <c r="Z79" i="25"/>
  <c r="Y79" i="25"/>
  <c r="AA79" i="25"/>
  <c r="AB79" i="25"/>
  <c r="Y11" i="25"/>
  <c r="AA11" i="25"/>
  <c r="AB11" i="25"/>
  <c r="T11" i="25"/>
  <c r="Z40" i="25"/>
  <c r="Y40" i="25"/>
  <c r="AA40" i="25"/>
  <c r="AB40" i="25"/>
  <c r="M106" i="17"/>
  <c r="M79" i="17"/>
  <c r="M80" i="17"/>
  <c r="M81" i="17"/>
  <c r="M82" i="17"/>
  <c r="M83" i="17"/>
  <c r="M84" i="17"/>
  <c r="M85" i="17"/>
  <c r="M86" i="17"/>
  <c r="M87" i="17"/>
  <c r="M88" i="17"/>
  <c r="M89" i="17"/>
  <c r="M90" i="17"/>
  <c r="M91" i="17"/>
  <c r="M92" i="17"/>
  <c r="M93" i="17"/>
  <c r="M94" i="17"/>
  <c r="M95" i="17"/>
  <c r="M96" i="17"/>
  <c r="M97" i="17"/>
  <c r="M98" i="17"/>
  <c r="M99" i="17"/>
  <c r="M100" i="17"/>
  <c r="M78" i="17"/>
  <c r="K78" i="17"/>
  <c r="J106" i="17"/>
  <c r="J79" i="17"/>
  <c r="J80" i="17"/>
  <c r="J81" i="17"/>
  <c r="J82" i="17"/>
  <c r="J83" i="17"/>
  <c r="J84" i="17"/>
  <c r="J85" i="17"/>
  <c r="J86" i="17"/>
  <c r="J87" i="17"/>
  <c r="J88" i="17"/>
  <c r="J90" i="17"/>
  <c r="J91" i="17"/>
  <c r="J92" i="17"/>
  <c r="J93" i="17"/>
  <c r="J94" i="17"/>
  <c r="J95" i="17"/>
  <c r="J96" i="17"/>
  <c r="J97" i="17"/>
  <c r="J98" i="17"/>
  <c r="J99" i="17"/>
  <c r="J100" i="17"/>
  <c r="J78" i="17"/>
  <c r="J72"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I19" i="17"/>
  <c r="M20" i="17"/>
  <c r="M21" i="17"/>
  <c r="M22" i="17"/>
  <c r="M23" i="17"/>
  <c r="M24" i="17"/>
  <c r="M25" i="17"/>
  <c r="M26" i="17"/>
  <c r="M27" i="17"/>
  <c r="M28" i="17"/>
  <c r="M29" i="17"/>
  <c r="M30" i="17"/>
  <c r="M31" i="17"/>
  <c r="M34"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19" i="17"/>
  <c r="K20" i="17"/>
  <c r="K22" i="17"/>
  <c r="K28" i="17"/>
  <c r="K30" i="17"/>
  <c r="K34" i="17"/>
  <c r="K39" i="17"/>
  <c r="K52" i="17"/>
  <c r="K62" i="17"/>
  <c r="P43" i="10"/>
  <c r="AG43" i="10"/>
  <c r="K19" i="17" s="1"/>
  <c r="AB43" i="10"/>
  <c r="AA43" i="10"/>
  <c r="T80" i="10"/>
  <c r="Z80" i="10" s="1"/>
  <c r="AF79" i="10"/>
  <c r="AG79" i="10" s="1"/>
  <c r="AG77" i="10"/>
  <c r="AG78" i="10"/>
  <c r="K37" i="17" s="1"/>
  <c r="Z76" i="10"/>
  <c r="AG76" i="10" s="1"/>
  <c r="AF10" i="10"/>
  <c r="AG10" i="10" s="1"/>
  <c r="Y9" i="10"/>
  <c r="AF9" i="10" s="1"/>
  <c r="AG11" i="10"/>
  <c r="K55" i="17" s="1"/>
  <c r="AF72" i="10"/>
  <c r="AG72" i="10" s="1"/>
  <c r="K81" i="17" s="1"/>
  <c r="K100" i="17"/>
  <c r="T13" i="10"/>
  <c r="Z13" i="10" s="1"/>
  <c r="AF12" i="10"/>
  <c r="AG12" i="10" s="1"/>
  <c r="T45" i="10"/>
  <c r="Z45" i="10" s="1"/>
  <c r="AF48" i="10"/>
  <c r="AG48" i="10" s="1"/>
  <c r="K21" i="17" s="1"/>
  <c r="AG47" i="10"/>
  <c r="K29" i="17" s="1"/>
  <c r="AG44" i="10"/>
  <c r="K26" i="17" s="1"/>
  <c r="AF15" i="10"/>
  <c r="AG15" i="10" s="1"/>
  <c r="AG41" i="10"/>
  <c r="Y81" i="10"/>
  <c r="AF81" i="10" s="1"/>
  <c r="AG8" i="10"/>
  <c r="K47" i="17" s="1"/>
  <c r="AF36" i="10"/>
  <c r="AG36" i="10" s="1"/>
  <c r="R13" i="10"/>
  <c r="AE76" i="10"/>
  <c r="AF11" i="10"/>
  <c r="AH11" i="10" s="1"/>
  <c r="AJ11" i="10" s="1"/>
  <c r="AE38" i="10"/>
  <c r="AF8" i="10"/>
  <c r="AH8" i="10" s="1"/>
  <c r="AJ8" i="10" s="1"/>
  <c r="L47" i="17" s="1"/>
  <c r="AE36" i="10"/>
  <c r="AE75" i="10"/>
  <c r="AE50" i="10"/>
  <c r="AF32" i="10"/>
  <c r="AG32" i="10" s="1"/>
  <c r="K41" i="17" s="1"/>
  <c r="AE32" i="10"/>
  <c r="AF25" i="10"/>
  <c r="AG25" i="10" s="1"/>
  <c r="AE25" i="10"/>
  <c r="AF19" i="10"/>
  <c r="AG19" i="10" s="1"/>
  <c r="AE78" i="10"/>
  <c r="AE40" i="10"/>
  <c r="AI40" i="10" s="1"/>
  <c r="AJ40" i="10" s="1"/>
  <c r="L30" i="17" s="1"/>
  <c r="X66" i="10"/>
  <c r="AB35" i="10"/>
  <c r="AA35" i="10"/>
  <c r="V35" i="10"/>
  <c r="U35" i="10"/>
  <c r="P35" i="10"/>
  <c r="S17" i="10"/>
  <c r="T17" i="10" s="1"/>
  <c r="Z17" i="10" s="1"/>
  <c r="AG17" i="10" s="1"/>
  <c r="K64" i="17" s="1"/>
  <c r="N17" i="10"/>
  <c r="R17" i="10"/>
  <c r="X17" i="10" s="1"/>
  <c r="P74" i="10"/>
  <c r="AA20" i="10"/>
  <c r="AA15" i="10"/>
  <c r="V15" i="10"/>
  <c r="U15" i="10"/>
  <c r="V14" i="10"/>
  <c r="AH77" i="10"/>
  <c r="Z58" i="10"/>
  <c r="X58" i="10"/>
  <c r="T58" i="10"/>
  <c r="R58" i="10"/>
  <c r="O58" i="10"/>
  <c r="N58" i="10"/>
  <c r="L58" i="10"/>
  <c r="J89" i="17"/>
  <c r="F106" i="17"/>
  <c r="F79" i="17"/>
  <c r="F80" i="17"/>
  <c r="F81" i="17"/>
  <c r="F82" i="17"/>
  <c r="F83" i="17"/>
  <c r="F84" i="17"/>
  <c r="F85" i="17"/>
  <c r="F86" i="17"/>
  <c r="F87" i="17"/>
  <c r="F88" i="17"/>
  <c r="F89" i="17"/>
  <c r="F90" i="17"/>
  <c r="F91" i="17"/>
  <c r="F92" i="17"/>
  <c r="F93" i="17"/>
  <c r="F94" i="17"/>
  <c r="F95" i="17"/>
  <c r="F96" i="17"/>
  <c r="F97" i="17"/>
  <c r="F98" i="17"/>
  <c r="F99" i="17"/>
  <c r="F100" i="17"/>
  <c r="F78"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19" i="17"/>
  <c r="I106" i="17"/>
  <c r="I79" i="17"/>
  <c r="I80" i="17"/>
  <c r="I81" i="17"/>
  <c r="I82" i="17"/>
  <c r="I83" i="17"/>
  <c r="I84" i="17"/>
  <c r="I85" i="17"/>
  <c r="I86" i="17"/>
  <c r="I87" i="17"/>
  <c r="I88" i="17"/>
  <c r="I89" i="17"/>
  <c r="I90" i="17"/>
  <c r="I91" i="17"/>
  <c r="I92" i="17"/>
  <c r="I93" i="17"/>
  <c r="I94" i="17"/>
  <c r="I95" i="17"/>
  <c r="I96" i="17"/>
  <c r="I97" i="17"/>
  <c r="I98" i="17"/>
  <c r="I99" i="17"/>
  <c r="I100" i="17"/>
  <c r="I78"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H106" i="17"/>
  <c r="H79" i="17"/>
  <c r="H80" i="17"/>
  <c r="H81" i="17"/>
  <c r="H82" i="17"/>
  <c r="H83" i="17"/>
  <c r="H84" i="17"/>
  <c r="H85" i="17"/>
  <c r="H86" i="17"/>
  <c r="H87" i="17"/>
  <c r="H88" i="17"/>
  <c r="H89" i="17"/>
  <c r="H90" i="17"/>
  <c r="H91" i="17"/>
  <c r="H92" i="17"/>
  <c r="H93" i="17"/>
  <c r="H94" i="17"/>
  <c r="H95" i="17"/>
  <c r="H96" i="17"/>
  <c r="H97" i="17"/>
  <c r="H98" i="17"/>
  <c r="H99" i="17"/>
  <c r="H100" i="17"/>
  <c r="H78"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19" i="17"/>
  <c r="G19" i="17"/>
  <c r="G106" i="17"/>
  <c r="G79" i="17"/>
  <c r="G80" i="17"/>
  <c r="G81" i="17"/>
  <c r="G82" i="17"/>
  <c r="G83" i="17"/>
  <c r="G84" i="17"/>
  <c r="G85" i="17"/>
  <c r="G86" i="17"/>
  <c r="G87" i="17"/>
  <c r="G88" i="17"/>
  <c r="G89" i="17"/>
  <c r="G90" i="17"/>
  <c r="G91" i="17"/>
  <c r="G92" i="17"/>
  <c r="G93" i="17"/>
  <c r="G94" i="17"/>
  <c r="G95" i="17"/>
  <c r="G96" i="17"/>
  <c r="G97" i="17"/>
  <c r="G98" i="17"/>
  <c r="G99" i="17"/>
  <c r="G100" i="17"/>
  <c r="G78"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A78" i="17"/>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6" i="17" s="1"/>
  <c r="AH52" i="10"/>
  <c r="P32" i="10"/>
  <c r="Z79" i="10"/>
  <c r="AB79" i="10" s="1"/>
  <c r="Y85" i="10"/>
  <c r="AA85" i="10" s="1"/>
  <c r="AH84" i="10"/>
  <c r="AH74" i="10"/>
  <c r="AA70" i="10"/>
  <c r="AB53" i="10"/>
  <c r="AA53" i="10"/>
  <c r="P53" i="10"/>
  <c r="AB51" i="10"/>
  <c r="AH50" i="10"/>
  <c r="AB50" i="10"/>
  <c r="AB49" i="10"/>
  <c r="AB48" i="10"/>
  <c r="AF49" i="10"/>
  <c r="AH49" i="10" s="1"/>
  <c r="P48" i="10"/>
  <c r="AH43" i="10"/>
  <c r="AE42" i="10"/>
  <c r="AB42" i="10"/>
  <c r="AA42" i="10"/>
  <c r="V42" i="10"/>
  <c r="U42" i="10"/>
  <c r="P42" i="10"/>
  <c r="AH38" i="10"/>
  <c r="AB38" i="10"/>
  <c r="Z36" i="10"/>
  <c r="AB36" i="10" s="1"/>
  <c r="V36" i="10"/>
  <c r="U36" i="10"/>
  <c r="P36" i="10"/>
  <c r="AF29" i="10"/>
  <c r="AG29" i="10" s="1"/>
  <c r="AE29" i="10"/>
  <c r="AB29" i="10"/>
  <c r="Z27" i="10"/>
  <c r="AB27" i="10" s="1"/>
  <c r="AB26" i="10"/>
  <c r="Y27" i="10"/>
  <c r="AF27" i="10" s="1"/>
  <c r="AE27" i="10"/>
  <c r="V26" i="10"/>
  <c r="AG26" i="10"/>
  <c r="AE26" i="10"/>
  <c r="AH26" i="10"/>
  <c r="AE23" i="10"/>
  <c r="AI23" i="10" s="1"/>
  <c r="AJ23" i="10" s="1"/>
  <c r="L39" i="17" s="1"/>
  <c r="AH23" i="10"/>
  <c r="AB23" i="10"/>
  <c r="Z15" i="10"/>
  <c r="AB15" i="10" s="1"/>
  <c r="V23" i="10"/>
  <c r="U23" i="10"/>
  <c r="P23" i="10"/>
  <c r="AE9" i="10"/>
  <c r="AE15" i="10"/>
  <c r="AE14" i="10"/>
  <c r="P14" i="10"/>
  <c r="AE12" i="10"/>
  <c r="AE10" i="10"/>
  <c r="AB10" i="10"/>
  <c r="AA10" i="10"/>
  <c r="V10" i="10"/>
  <c r="U10" i="10"/>
  <c r="P10" i="10"/>
  <c r="AH20" i="10"/>
  <c r="AG20" i="10"/>
  <c r="K40" i="17" s="1"/>
  <c r="AE20" i="10"/>
  <c r="P20" i="10"/>
  <c r="AB30" i="10"/>
  <c r="AA30" i="10"/>
  <c r="V30" i="10"/>
  <c r="U30" i="10"/>
  <c r="V8" i="10"/>
  <c r="U8" i="10"/>
  <c r="P81" i="10"/>
  <c r="P78" i="10"/>
  <c r="P75" i="10"/>
  <c r="P60" i="10"/>
  <c r="P38" i="10"/>
  <c r="P29" i="10"/>
  <c r="P27" i="10"/>
  <c r="P12" i="10"/>
  <c r="P9" i="10"/>
  <c r="P8" i="10"/>
  <c r="X80" i="10"/>
  <c r="AE80" i="10" s="1"/>
  <c r="W13" i="10"/>
  <c r="AA13" i="10" s="1"/>
  <c r="AH80" i="10"/>
  <c r="AH82" i="10"/>
  <c r="AH13" i="10"/>
  <c r="AA80" i="10"/>
  <c r="AA82" i="10"/>
  <c r="AA71" i="10"/>
  <c r="U80" i="10"/>
  <c r="U82" i="10"/>
  <c r="U71" i="10"/>
  <c r="U13" i="10"/>
  <c r="P13" i="10"/>
  <c r="AA68" i="10"/>
  <c r="Y46" i="10"/>
  <c r="AE46" i="10"/>
  <c r="AF34" i="10"/>
  <c r="AH34" i="10" s="1"/>
  <c r="AF22" i="10"/>
  <c r="AG22" i="10" s="1"/>
  <c r="AE22" i="10"/>
  <c r="AF31" i="10"/>
  <c r="AH31" i="10" s="1"/>
  <c r="AE31" i="10"/>
  <c r="AB65" i="10"/>
  <c r="AB61" i="10"/>
  <c r="AB34" i="10"/>
  <c r="AB31" i="10"/>
  <c r="AA65" i="10"/>
  <c r="AA61" i="10"/>
  <c r="AA34" i="10"/>
  <c r="AA31" i="10"/>
  <c r="V69" i="10"/>
  <c r="V68" i="10"/>
  <c r="V65" i="10"/>
  <c r="V61" i="10"/>
  <c r="V46" i="10"/>
  <c r="V34" i="10"/>
  <c r="V31" i="10"/>
  <c r="V22" i="10"/>
  <c r="U69" i="10"/>
  <c r="U68" i="10"/>
  <c r="U65" i="10"/>
  <c r="U61" i="10"/>
  <c r="U58" i="10"/>
  <c r="U46" i="10"/>
  <c r="U34" i="10"/>
  <c r="U31" i="10"/>
  <c r="U22" i="10"/>
  <c r="P69" i="10"/>
  <c r="P68" i="10"/>
  <c r="P65" i="10"/>
  <c r="P61" i="10"/>
  <c r="P46" i="10"/>
  <c r="P34" i="10"/>
  <c r="P31" i="10"/>
  <c r="AG30" i="10"/>
  <c r="AE30" i="10"/>
  <c r="AH30" i="10"/>
  <c r="O30" i="10"/>
  <c r="N30" i="10"/>
  <c r="P82" i="10"/>
  <c r="R45" i="10"/>
  <c r="AH45" i="10"/>
  <c r="AE44" i="10"/>
  <c r="AB44" i="10"/>
  <c r="AH73" i="10"/>
  <c r="V33" i="10"/>
  <c r="AE33" i="10"/>
  <c r="W33" i="10"/>
  <c r="AA33" i="10" s="1"/>
  <c r="U33" i="10"/>
  <c r="P33" i="10"/>
  <c r="AF28" i="10"/>
  <c r="AH28" i="10" s="1"/>
  <c r="AE28" i="10"/>
  <c r="AB28" i="10"/>
  <c r="AA28" i="10"/>
  <c r="AF24" i="10"/>
  <c r="AH24" i="10" s="1"/>
  <c r="AE24" i="10"/>
  <c r="AB24" i="10"/>
  <c r="AA24" i="10"/>
  <c r="AF21" i="10"/>
  <c r="AG21" i="10" s="1"/>
  <c r="AE21" i="10"/>
  <c r="AB21" i="10"/>
  <c r="AA21" i="10"/>
  <c r="V21" i="10"/>
  <c r="U21" i="10"/>
  <c r="P21" i="10"/>
  <c r="AH64" i="10"/>
  <c r="AA64" i="10"/>
  <c r="U64" i="10"/>
  <c r="P64" i="10"/>
  <c r="AE77" i="10"/>
  <c r="AB47" i="10"/>
  <c r="V47" i="10"/>
  <c r="AB52" i="10"/>
  <c r="AA52" i="10"/>
  <c r="V52" i="10"/>
  <c r="U52" i="10"/>
  <c r="P52" i="10"/>
  <c r="AB41" i="10"/>
  <c r="AA41" i="10"/>
  <c r="V41" i="10"/>
  <c r="U41" i="10"/>
  <c r="P41" i="10"/>
  <c r="Z66" i="10"/>
  <c r="U66" i="10"/>
  <c r="P66" i="10"/>
  <c r="V57" i="10"/>
  <c r="U57" i="10"/>
  <c r="P57" i="10"/>
  <c r="T56" i="10"/>
  <c r="V56" i="10" s="1"/>
  <c r="Z55" i="10"/>
  <c r="AB55" i="10" s="1"/>
  <c r="T55" i="10"/>
  <c r="V55" i="10" s="1"/>
  <c r="U55" i="10"/>
  <c r="P55" i="10"/>
  <c r="AH17" i="10"/>
  <c r="AH76" i="10"/>
  <c r="R76" i="10"/>
  <c r="V76" i="10" s="1"/>
  <c r="AH54" i="10"/>
  <c r="AB54" i="10"/>
  <c r="AA54" i="10"/>
  <c r="V54" i="10"/>
  <c r="U54" i="10"/>
  <c r="P54" i="10"/>
  <c r="AB19" i="10"/>
  <c r="AA19" i="10"/>
  <c r="V19" i="10"/>
  <c r="U19" i="10"/>
  <c r="P19" i="10"/>
  <c r="AI18" i="10"/>
  <c r="AJ18" i="10" s="1"/>
  <c r="L52" i="17" s="1"/>
  <c r="AD18" i="10"/>
  <c r="AH18" i="10" s="1"/>
  <c r="AB18" i="10"/>
  <c r="AA18" i="10"/>
  <c r="V18" i="10"/>
  <c r="U18" i="10"/>
  <c r="AE8" i="10"/>
  <c r="AB8" i="10"/>
  <c r="AA8" i="10"/>
  <c r="AE39" i="10"/>
  <c r="AI39" i="10" s="1"/>
  <c r="AJ39" i="10" s="1"/>
  <c r="L28" i="17" s="1"/>
  <c r="O28" i="17" s="1"/>
  <c r="AH40" i="10"/>
  <c r="AH39" i="10"/>
  <c r="AB40" i="10"/>
  <c r="AB39" i="10"/>
  <c r="AA40" i="10"/>
  <c r="AA39" i="10"/>
  <c r="V40" i="10"/>
  <c r="V39" i="10"/>
  <c r="U40" i="10"/>
  <c r="U39" i="10"/>
  <c r="P40" i="10"/>
  <c r="P39" i="10"/>
  <c r="AE37" i="10"/>
  <c r="AI37" i="10" s="1"/>
  <c r="AJ37" i="10" s="1"/>
  <c r="L34" i="17" s="1"/>
  <c r="AH37" i="10"/>
  <c r="AB37" i="10"/>
  <c r="AA37" i="10"/>
  <c r="V37" i="10"/>
  <c r="U37" i="10"/>
  <c r="P37" i="10"/>
  <c r="AB22" i="10"/>
  <c r="P28" i="10"/>
  <c r="P24" i="10"/>
  <c r="V28" i="10"/>
  <c r="V24" i="10"/>
  <c r="U28" i="10"/>
  <c r="U24" i="10"/>
  <c r="AA45" i="10"/>
  <c r="AB77" i="10"/>
  <c r="AA77" i="10"/>
  <c r="V77" i="10"/>
  <c r="U77" i="10"/>
  <c r="P77" i="10"/>
  <c r="AA78" i="10"/>
  <c r="AA75" i="10"/>
  <c r="AA74" i="10"/>
  <c r="AA60" i="10"/>
  <c r="AA51" i="10"/>
  <c r="AA50" i="10"/>
  <c r="AA49" i="10"/>
  <c r="AA48" i="10"/>
  <c r="AA44" i="10"/>
  <c r="AA38" i="10"/>
  <c r="AA29" i="10"/>
  <c r="V43" i="10"/>
  <c r="U43" i="10"/>
  <c r="V20" i="10"/>
  <c r="V29" i="10"/>
  <c r="V9" i="10"/>
  <c r="V81" i="10"/>
  <c r="V79" i="10"/>
  <c r="V78" i="10"/>
  <c r="V75" i="10"/>
  <c r="V74" i="10"/>
  <c r="V70" i="10"/>
  <c r="V67" i="10"/>
  <c r="V66" i="10"/>
  <c r="V60" i="10"/>
  <c r="V53" i="10"/>
  <c r="V51" i="10"/>
  <c r="V50" i="10"/>
  <c r="V49" i="10"/>
  <c r="V48" i="10"/>
  <c r="V44" i="10"/>
  <c r="V38" i="10"/>
  <c r="V27" i="10"/>
  <c r="V12" i="10"/>
  <c r="U81" i="10"/>
  <c r="U67" i="10"/>
  <c r="U50" i="10"/>
  <c r="U49" i="10"/>
  <c r="U48" i="10"/>
  <c r="U27" i="10"/>
  <c r="U60" i="10"/>
  <c r="U51" i="10"/>
  <c r="U38" i="10"/>
  <c r="U29" i="10"/>
  <c r="U12" i="10"/>
  <c r="U9" i="10"/>
  <c r="P79" i="10"/>
  <c r="P70" i="10"/>
  <c r="P67" i="10"/>
  <c r="P51" i="10"/>
  <c r="P50" i="10"/>
  <c r="P49" i="10"/>
  <c r="P44" i="10"/>
  <c r="P26" i="10"/>
  <c r="AB84" i="10"/>
  <c r="AB83" i="10"/>
  <c r="AA84" i="10"/>
  <c r="AA83" i="10"/>
  <c r="V85" i="10"/>
  <c r="V84" i="10"/>
  <c r="V83" i="10"/>
  <c r="U85" i="10"/>
  <c r="U84" i="10"/>
  <c r="U83" i="10"/>
  <c r="P85" i="10"/>
  <c r="P84" i="10"/>
  <c r="P83" i="10"/>
  <c r="AA62" i="10"/>
  <c r="AA57" i="10"/>
  <c r="V62" i="10"/>
  <c r="U62" i="10"/>
  <c r="U56" i="10"/>
  <c r="P62" i="10"/>
  <c r="P56" i="10"/>
  <c r="P22" i="10"/>
  <c r="U20" i="10"/>
  <c r="A71" i="14"/>
  <c r="A72" i="14"/>
  <c r="A73" i="14"/>
  <c r="A74" i="14"/>
  <c r="A75" i="14"/>
  <c r="A76" i="14"/>
  <c r="A77" i="14"/>
  <c r="A78" i="14"/>
  <c r="A79" i="14"/>
  <c r="A80" i="14"/>
  <c r="A81" i="14"/>
  <c r="A82" i="14"/>
  <c r="A83" i="14"/>
  <c r="A84" i="14"/>
  <c r="A85" i="14"/>
  <c r="A86" i="14"/>
  <c r="A87" i="14"/>
  <c r="A88" i="14"/>
  <c r="A89" i="14"/>
  <c r="A90" i="14"/>
  <c r="A91" i="14"/>
  <c r="Y26" i="10"/>
  <c r="AA26" i="10" s="1"/>
  <c r="S26" i="10"/>
  <c r="U26" i="10" s="1"/>
  <c r="W58" i="10"/>
  <c r="AA58" i="10" s="1"/>
  <c r="P45" i="10"/>
  <c r="F13" i="7"/>
  <c r="G13" i="7"/>
  <c r="H13" i="7"/>
  <c r="AE81" i="10"/>
  <c r="AE79" i="10"/>
  <c r="U79" i="10"/>
  <c r="AB78" i="10"/>
  <c r="Q78" i="10"/>
  <c r="U78" i="10" s="1"/>
  <c r="AE85" i="10"/>
  <c r="AE84" i="10"/>
  <c r="AE83" i="10"/>
  <c r="AA76" i="10"/>
  <c r="S76" i="10"/>
  <c r="U76" i="10" s="1"/>
  <c r="P76" i="10"/>
  <c r="AB75" i="10"/>
  <c r="U75" i="10"/>
  <c r="AE74" i="10"/>
  <c r="AB74" i="10"/>
  <c r="S74" i="10"/>
  <c r="Q74" i="10"/>
  <c r="AA73" i="10"/>
  <c r="S73" i="10"/>
  <c r="U73" i="10" s="1"/>
  <c r="R73" i="10"/>
  <c r="V73" i="10" s="1"/>
  <c r="P73" i="10"/>
  <c r="AE72" i="10"/>
  <c r="P71" i="10"/>
  <c r="U70" i="10"/>
  <c r="AB62" i="10"/>
  <c r="AB60" i="10"/>
  <c r="V59" i="10"/>
  <c r="U59" i="10"/>
  <c r="P59" i="10"/>
  <c r="AB57" i="10"/>
  <c r="AE54" i="10"/>
  <c r="U53" i="10"/>
  <c r="AE49" i="10"/>
  <c r="AI49" i="10" s="1"/>
  <c r="AJ49" i="10" s="1"/>
  <c r="L20" i="17" s="1"/>
  <c r="O20" i="17" s="1"/>
  <c r="AE48" i="10"/>
  <c r="AE47" i="10"/>
  <c r="U45" i="10"/>
  <c r="U44" i="10"/>
  <c r="AE41" i="10"/>
  <c r="AH35" i="10"/>
  <c r="AE35" i="10"/>
  <c r="AI35" i="10" s="1"/>
  <c r="AJ35" i="10" s="1"/>
  <c r="L22" i="17" s="1"/>
  <c r="R33" i="10"/>
  <c r="V32" i="10"/>
  <c r="U32" i="10"/>
  <c r="AB20" i="10"/>
  <c r="AE19" i="10"/>
  <c r="AH16" i="10"/>
  <c r="AE16" i="10"/>
  <c r="AI16" i="10" s="1"/>
  <c r="AJ16" i="10" s="1"/>
  <c r="L62" i="17" s="1"/>
  <c r="AB16" i="10"/>
  <c r="AA16" i="10"/>
  <c r="V16" i="10"/>
  <c r="U16" i="10"/>
  <c r="P16" i="10"/>
  <c r="AE11" i="10"/>
  <c r="AB11" i="10"/>
  <c r="AA11" i="10"/>
  <c r="V11" i="10"/>
  <c r="U11" i="10"/>
  <c r="P11" i="10"/>
  <c r="AA17" i="10"/>
  <c r="E13" i="7"/>
  <c r="D13" i="7"/>
  <c r="C13" i="7"/>
  <c r="R61" i="1"/>
  <c r="X61" i="1"/>
  <c r="AE61" i="1"/>
  <c r="Z5" i="1"/>
  <c r="Y5" i="1"/>
  <c r="V14" i="1"/>
  <c r="Z14" i="1"/>
  <c r="M14" i="1"/>
  <c r="Q14" i="1"/>
  <c r="Y14" i="1"/>
  <c r="L14" i="1"/>
  <c r="O14" i="1"/>
  <c r="J14" i="1"/>
  <c r="AC14" i="1"/>
  <c r="AH14" i="1"/>
  <c r="AC60" i="1"/>
  <c r="AH60" i="1"/>
  <c r="AC56" i="1"/>
  <c r="AG56" i="1"/>
  <c r="AC38" i="1"/>
  <c r="AG38" i="1"/>
  <c r="AC29" i="1"/>
  <c r="AG29" i="1"/>
  <c r="AC13" i="1"/>
  <c r="AG13" i="1"/>
  <c r="AC8" i="1"/>
  <c r="AG8" i="1"/>
  <c r="AF60" i="1"/>
  <c r="AF56" i="1"/>
  <c r="AF38" i="1"/>
  <c r="AF29" i="1"/>
  <c r="AF13" i="1"/>
  <c r="AF8" i="1"/>
  <c r="Z60" i="1"/>
  <c r="Z56" i="1"/>
  <c r="Z38" i="1"/>
  <c r="Z29" i="1"/>
  <c r="Z13" i="1"/>
  <c r="Z8" i="1"/>
  <c r="Y60" i="1"/>
  <c r="Y56" i="1"/>
  <c r="Y38" i="1"/>
  <c r="Y29" i="1"/>
  <c r="Y13" i="1"/>
  <c r="Y8" i="1"/>
  <c r="S8" i="1"/>
  <c r="T60" i="1"/>
  <c r="N60" i="1"/>
  <c r="S60" i="1"/>
  <c r="T8" i="1"/>
  <c r="T13" i="1"/>
  <c r="T29" i="1"/>
  <c r="T38" i="1"/>
  <c r="T56" i="1"/>
  <c r="S56" i="1"/>
  <c r="S38" i="1"/>
  <c r="S29" i="1"/>
  <c r="S13" i="1"/>
  <c r="N38" i="1"/>
  <c r="N13" i="1"/>
  <c r="P68" i="1"/>
  <c r="V68" i="1"/>
  <c r="AD68" i="1"/>
  <c r="AF68" i="1"/>
  <c r="R68" i="1"/>
  <c r="P61" i="1"/>
  <c r="V61" i="1"/>
  <c r="AF61" i="1"/>
  <c r="Y40" i="1"/>
  <c r="AF32" i="1"/>
  <c r="AC32" i="1"/>
  <c r="AG32" i="1"/>
  <c r="AC46" i="1"/>
  <c r="AG46" i="1"/>
  <c r="AF46" i="1"/>
  <c r="AC30" i="1"/>
  <c r="AB30" i="1"/>
  <c r="AF30" i="1"/>
  <c r="R30" i="1"/>
  <c r="AC47" i="1"/>
  <c r="AH47" i="1"/>
  <c r="AC35" i="1"/>
  <c r="AH35" i="1"/>
  <c r="U30" i="1"/>
  <c r="Y30" i="1"/>
  <c r="P30" i="1"/>
  <c r="AF35" i="1"/>
  <c r="AF47" i="1"/>
  <c r="S47" i="1"/>
  <c r="Y47" i="1"/>
  <c r="S75" i="1"/>
  <c r="N56" i="1"/>
  <c r="N8" i="1"/>
  <c r="S69" i="1"/>
  <c r="T40" i="1"/>
  <c r="N74" i="1"/>
  <c r="N68" i="1"/>
  <c r="N61" i="1"/>
  <c r="N42" i="1"/>
  <c r="N73" i="1"/>
  <c r="N70" i="1"/>
  <c r="N10" i="1"/>
  <c r="N28" i="1"/>
  <c r="N29" i="1"/>
  <c r="N62" i="1"/>
  <c r="N66" i="1"/>
  <c r="N65" i="1"/>
  <c r="N58" i="1"/>
  <c r="N55" i="1"/>
  <c r="N43" i="1"/>
  <c r="N31" i="1"/>
  <c r="N19" i="1"/>
  <c r="N5" i="1"/>
  <c r="AC81" i="1"/>
  <c r="AH81" i="1"/>
  <c r="AC73" i="1"/>
  <c r="AH73" i="1"/>
  <c r="AC70" i="1"/>
  <c r="AH70" i="1"/>
  <c r="AC42" i="1"/>
  <c r="P70" i="1"/>
  <c r="T70" i="1"/>
  <c r="P10" i="1"/>
  <c r="P73" i="1"/>
  <c r="Q34" i="1"/>
  <c r="S34" i="1"/>
  <c r="R73" i="1"/>
  <c r="R42" i="1"/>
  <c r="T42" i="1"/>
  <c r="Z42" i="1"/>
  <c r="X74" i="1"/>
  <c r="Q74" i="1"/>
  <c r="S74" i="1"/>
  <c r="Z70" i="1"/>
  <c r="F5" i="7"/>
  <c r="F4" i="7"/>
  <c r="D6" i="7"/>
  <c r="E6" i="7"/>
  <c r="C6" i="7"/>
  <c r="E70" i="4"/>
  <c r="E71" i="4"/>
  <c r="E72" i="4"/>
  <c r="E73" i="4"/>
  <c r="E74" i="4"/>
  <c r="E75" i="4"/>
  <c r="E76" i="4"/>
  <c r="E77" i="4"/>
  <c r="E78" i="4"/>
  <c r="E79" i="4"/>
  <c r="E87" i="4"/>
  <c r="E58" i="4"/>
  <c r="E59" i="4"/>
  <c r="E60" i="4"/>
  <c r="E61" i="4"/>
  <c r="E62" i="4"/>
  <c r="E63" i="4"/>
  <c r="E64" i="4"/>
  <c r="E65" i="4"/>
  <c r="E66" i="4"/>
  <c r="E67" i="4"/>
  <c r="E68" i="4"/>
  <c r="E69" i="4"/>
  <c r="E86" i="4"/>
  <c r="E31" i="4"/>
  <c r="E32" i="4"/>
  <c r="E33" i="4"/>
  <c r="E34" i="4"/>
  <c r="E35" i="4"/>
  <c r="E36" i="4"/>
  <c r="E37" i="4"/>
  <c r="E38" i="4"/>
  <c r="E39" i="4"/>
  <c r="E40" i="4"/>
  <c r="E41" i="4"/>
  <c r="E42" i="4"/>
  <c r="E43" i="4"/>
  <c r="E44" i="4"/>
  <c r="E45" i="4"/>
  <c r="E46" i="4"/>
  <c r="E47" i="4"/>
  <c r="E48" i="4"/>
  <c r="E49" i="4"/>
  <c r="E50" i="4"/>
  <c r="E51" i="4"/>
  <c r="E52" i="4"/>
  <c r="E53" i="4"/>
  <c r="E54" i="4"/>
  <c r="E55" i="4"/>
  <c r="E56" i="4"/>
  <c r="E57" i="4"/>
  <c r="E85" i="4"/>
  <c r="E10" i="4"/>
  <c r="E11" i="4"/>
  <c r="E12" i="4"/>
  <c r="E13" i="4"/>
  <c r="E14" i="4"/>
  <c r="E15" i="4"/>
  <c r="E16" i="4"/>
  <c r="E17" i="4"/>
  <c r="E18" i="4"/>
  <c r="E19" i="4"/>
  <c r="E20" i="4"/>
  <c r="E21" i="4"/>
  <c r="E22" i="4"/>
  <c r="E23" i="4"/>
  <c r="E24" i="4"/>
  <c r="E25" i="4"/>
  <c r="E26" i="4"/>
  <c r="E27" i="4"/>
  <c r="E28" i="4"/>
  <c r="E29" i="4"/>
  <c r="E30" i="4"/>
  <c r="E84" i="4"/>
  <c r="E3" i="4"/>
  <c r="E4" i="4"/>
  <c r="E5" i="4"/>
  <c r="E6" i="4"/>
  <c r="E7" i="4"/>
  <c r="E8" i="4"/>
  <c r="E9" i="4"/>
  <c r="E2" i="4"/>
  <c r="AC6" i="1"/>
  <c r="AH6" i="1"/>
  <c r="AC7" i="1"/>
  <c r="AH7" i="1"/>
  <c r="AC9" i="1"/>
  <c r="AH9" i="1"/>
  <c r="AC11" i="1"/>
  <c r="AH11" i="1"/>
  <c r="AC12" i="1"/>
  <c r="AC15" i="1"/>
  <c r="AC16" i="1"/>
  <c r="AC17" i="1"/>
  <c r="AH17" i="1"/>
  <c r="AC18" i="1"/>
  <c r="AH18" i="1"/>
  <c r="AC19" i="1"/>
  <c r="AC20" i="1"/>
  <c r="AH20" i="1"/>
  <c r="AC21" i="1"/>
  <c r="AH21" i="1"/>
  <c r="AC22" i="1"/>
  <c r="AC23" i="1"/>
  <c r="AH23" i="1"/>
  <c r="AC24" i="1"/>
  <c r="AH24" i="1"/>
  <c r="AC25" i="1"/>
  <c r="AH25" i="1"/>
  <c r="AC26" i="1"/>
  <c r="AC27" i="1"/>
  <c r="AH27" i="1"/>
  <c r="AC28" i="1"/>
  <c r="AC33" i="1"/>
  <c r="AH33" i="1"/>
  <c r="AC34" i="1"/>
  <c r="AH34" i="1"/>
  <c r="AC36" i="1"/>
  <c r="AC37" i="1"/>
  <c r="AH37" i="1"/>
  <c r="AC39" i="1"/>
  <c r="AH39" i="1"/>
  <c r="AC41" i="1"/>
  <c r="AH41" i="1"/>
  <c r="AC43" i="1"/>
  <c r="AH43" i="1"/>
  <c r="AC44" i="1"/>
  <c r="AH44" i="1"/>
  <c r="AC45" i="1"/>
  <c r="AH45" i="1"/>
  <c r="AC48" i="1"/>
  <c r="AC49" i="1"/>
  <c r="AC50" i="1"/>
  <c r="AH50" i="1"/>
  <c r="AC51" i="1"/>
  <c r="AH51" i="1"/>
  <c r="AC52" i="1"/>
  <c r="AH52" i="1"/>
  <c r="AC53" i="1"/>
  <c r="AH53" i="1"/>
  <c r="AC54" i="1"/>
  <c r="AC55" i="1"/>
  <c r="AH55" i="1"/>
  <c r="AC57" i="1"/>
  <c r="AH57" i="1"/>
  <c r="AC58" i="1"/>
  <c r="AH58" i="1"/>
  <c r="AC59" i="1"/>
  <c r="AH59" i="1"/>
  <c r="AC62" i="1"/>
  <c r="AC63" i="1"/>
  <c r="AH63" i="1"/>
  <c r="AC64" i="1"/>
  <c r="AH64" i="1"/>
  <c r="AC65" i="1"/>
  <c r="AC66" i="1"/>
  <c r="AH66" i="1"/>
  <c r="AC67" i="1"/>
  <c r="AC69" i="1"/>
  <c r="AH69" i="1"/>
  <c r="AC71" i="1"/>
  <c r="AH71" i="1"/>
  <c r="AC72" i="1"/>
  <c r="AH72" i="1"/>
  <c r="AC75" i="1"/>
  <c r="AC76" i="1"/>
  <c r="AC77" i="1"/>
  <c r="AH77" i="1"/>
  <c r="AC78" i="1"/>
  <c r="AH78" i="1"/>
  <c r="AC79" i="1"/>
  <c r="AH79" i="1"/>
  <c r="AC80" i="1"/>
  <c r="AH80" i="1"/>
  <c r="AC82" i="1"/>
  <c r="AH82" i="1"/>
  <c r="Z40" i="1"/>
  <c r="Z34" i="1"/>
  <c r="Z35" i="1"/>
  <c r="Z41" i="1"/>
  <c r="Z43" i="1"/>
  <c r="Z44" i="1"/>
  <c r="Z45" i="1"/>
  <c r="Z47" i="1"/>
  <c r="Z49" i="1"/>
  <c r="Z50" i="1"/>
  <c r="Z51" i="1"/>
  <c r="Z57" i="1"/>
  <c r="Z62" i="1"/>
  <c r="Z63" i="1"/>
  <c r="Z64" i="1"/>
  <c r="Z69" i="1"/>
  <c r="Z71" i="1"/>
  <c r="Z72" i="1"/>
  <c r="Z75" i="1"/>
  <c r="Z76" i="1"/>
  <c r="Z77" i="1"/>
  <c r="Z78" i="1"/>
  <c r="Z79" i="1"/>
  <c r="Z81" i="1"/>
  <c r="Z82" i="1"/>
  <c r="Z67" i="1"/>
  <c r="Z66" i="1"/>
  <c r="Z65" i="1"/>
  <c r="Z59" i="1"/>
  <c r="Z58" i="1"/>
  <c r="Z55" i="1"/>
  <c r="Z54" i="1"/>
  <c r="Z53" i="1"/>
  <c r="Z48" i="1"/>
  <c r="Y12" i="1"/>
  <c r="Y15" i="1"/>
  <c r="Y16" i="1"/>
  <c r="Y26" i="1"/>
  <c r="Y32" i="1"/>
  <c r="Y36" i="1"/>
  <c r="Y37" i="1"/>
  <c r="Y45" i="1"/>
  <c r="Y49" i="1"/>
  <c r="Y62" i="1"/>
  <c r="Y63" i="1"/>
  <c r="Y64" i="1"/>
  <c r="Y68" i="1"/>
  <c r="Y69" i="1"/>
  <c r="Y74" i="1"/>
  <c r="Y75" i="1"/>
  <c r="Y76" i="1"/>
  <c r="Y77" i="1"/>
  <c r="Y82" i="1"/>
  <c r="Y6" i="1"/>
  <c r="T69" i="1"/>
  <c r="T59" i="1"/>
  <c r="T57" i="1"/>
  <c r="T48" i="1"/>
  <c r="T31" i="1"/>
  <c r="T26" i="1"/>
  <c r="T24" i="1"/>
  <c r="T22" i="1"/>
  <c r="T19" i="1"/>
  <c r="T16" i="1"/>
  <c r="T15" i="1"/>
  <c r="T9" i="1"/>
  <c r="T6" i="1"/>
  <c r="T5" i="1"/>
  <c r="T7" i="1"/>
  <c r="T11" i="1"/>
  <c r="T12" i="1"/>
  <c r="T17" i="1"/>
  <c r="T18" i="1"/>
  <c r="T20" i="1"/>
  <c r="T21" i="1"/>
  <c r="T23" i="1"/>
  <c r="T25" i="1"/>
  <c r="T27" i="1"/>
  <c r="T28" i="1"/>
  <c r="T32" i="1"/>
  <c r="T33" i="1"/>
  <c r="T34" i="1"/>
  <c r="T35" i="1"/>
  <c r="T36" i="1"/>
  <c r="T37" i="1"/>
  <c r="T39" i="1"/>
  <c r="T41" i="1"/>
  <c r="T43" i="1"/>
  <c r="T44" i="1"/>
  <c r="T45" i="1"/>
  <c r="T46" i="1"/>
  <c r="T47" i="1"/>
  <c r="T49" i="1"/>
  <c r="T50" i="1"/>
  <c r="T51" i="1"/>
  <c r="T53" i="1"/>
  <c r="T54" i="1"/>
  <c r="T55" i="1"/>
  <c r="T58" i="1"/>
  <c r="T62" i="1"/>
  <c r="T63" i="1"/>
  <c r="T64" i="1"/>
  <c r="T65" i="1"/>
  <c r="T66" i="1"/>
  <c r="T67" i="1"/>
  <c r="T71" i="1"/>
  <c r="T72" i="1"/>
  <c r="T75" i="1"/>
  <c r="T76" i="1"/>
  <c r="T77" i="1"/>
  <c r="T78" i="1"/>
  <c r="T79" i="1"/>
  <c r="T80" i="1"/>
  <c r="T81" i="1"/>
  <c r="T82" i="1"/>
  <c r="Q11" i="1"/>
  <c r="S11" i="1"/>
  <c r="Y73" i="1"/>
  <c r="Y53" i="1"/>
  <c r="Y54" i="1"/>
  <c r="Y57" i="1"/>
  <c r="Y61" i="1"/>
  <c r="S62" i="1"/>
  <c r="R52" i="1"/>
  <c r="T52" i="1"/>
  <c r="Q50" i="1"/>
  <c r="S50" i="1"/>
  <c r="Q51" i="1"/>
  <c r="S51" i="1"/>
  <c r="Q55" i="1"/>
  <c r="S55" i="1"/>
  <c r="Q58" i="1"/>
  <c r="S58" i="1"/>
  <c r="Q59" i="1"/>
  <c r="S59" i="1"/>
  <c r="Q67" i="1"/>
  <c r="S67" i="1"/>
  <c r="S68" i="1"/>
  <c r="Q70" i="1"/>
  <c r="S70" i="1"/>
  <c r="Z80" i="1"/>
  <c r="Z46" i="1"/>
  <c r="Y44" i="1"/>
  <c r="Z37" i="1"/>
  <c r="Z36" i="1"/>
  <c r="Z33" i="1"/>
  <c r="Z32" i="1"/>
  <c r="Y79" i="1"/>
  <c r="Y78" i="1"/>
  <c r="Q43" i="1"/>
  <c r="S43" i="1"/>
  <c r="Q80" i="1"/>
  <c r="S80" i="1"/>
  <c r="Q78" i="1"/>
  <c r="S78" i="1"/>
  <c r="S46" i="1"/>
  <c r="S44" i="1"/>
  <c r="Q41" i="1"/>
  <c r="S41" i="1"/>
  <c r="S33" i="1"/>
  <c r="S35" i="1"/>
  <c r="O79" i="1"/>
  <c r="S79" i="1"/>
  <c r="AC5" i="1"/>
  <c r="AH5" i="1"/>
  <c r="Z7" i="1"/>
  <c r="Z39" i="1"/>
  <c r="Z31" i="1"/>
  <c r="Z26" i="1"/>
  <c r="Z24" i="1"/>
  <c r="Z22" i="1"/>
  <c r="Z19" i="1"/>
  <c r="Z16" i="1"/>
  <c r="Z15" i="1"/>
  <c r="Z12" i="1"/>
  <c r="Y81" i="1"/>
  <c r="Y71" i="1"/>
  <c r="Y11" i="1"/>
  <c r="Y9" i="1"/>
  <c r="Y7" i="1"/>
  <c r="Q72" i="1"/>
  <c r="S72" i="1"/>
  <c r="Q71" i="1"/>
  <c r="Q39" i="1"/>
  <c r="S39" i="1"/>
  <c r="S31" i="1"/>
  <c r="S81" i="1"/>
  <c r="S77" i="1"/>
  <c r="S76" i="1"/>
  <c r="S5" i="1"/>
  <c r="O71" i="1"/>
  <c r="S30" i="1"/>
  <c r="Q27" i="1"/>
  <c r="S27" i="1"/>
  <c r="Z25" i="1"/>
  <c r="Q25" i="1"/>
  <c r="S25" i="1"/>
  <c r="Z23" i="1"/>
  <c r="Q23" i="1"/>
  <c r="S23" i="1"/>
  <c r="Z28" i="1"/>
  <c r="Z21" i="1"/>
  <c r="Z20" i="1"/>
  <c r="Z18" i="1"/>
  <c r="Z17" i="1"/>
  <c r="Q21" i="1"/>
  <c r="S21" i="1"/>
  <c r="Y17" i="1"/>
  <c r="Q20" i="1"/>
  <c r="S20" i="1"/>
  <c r="Q18" i="1"/>
  <c r="S18" i="1"/>
  <c r="Q17" i="1"/>
  <c r="S17" i="1"/>
  <c r="U10" i="1"/>
  <c r="AC10" i="1"/>
  <c r="AH10" i="1"/>
  <c r="Q10" i="1"/>
  <c r="S10" i="1"/>
  <c r="P74" i="1"/>
  <c r="V74" i="1"/>
  <c r="N11" i="1"/>
  <c r="S7" i="1"/>
  <c r="S6" i="1"/>
  <c r="S12" i="1"/>
  <c r="S19" i="1"/>
  <c r="S16" i="1"/>
  <c r="S26" i="1"/>
  <c r="S22" i="1"/>
  <c r="S24" i="1"/>
  <c r="S9" i="1"/>
  <c r="S15" i="1"/>
  <c r="S40" i="1"/>
  <c r="S32" i="1"/>
  <c r="S36" i="1"/>
  <c r="S37" i="1"/>
  <c r="S45" i="1"/>
  <c r="S48" i="1"/>
  <c r="S49" i="1"/>
  <c r="S53" i="1"/>
  <c r="S54" i="1"/>
  <c r="S57" i="1"/>
  <c r="S61" i="1"/>
  <c r="S63" i="1"/>
  <c r="S64" i="1"/>
  <c r="S73" i="1"/>
  <c r="S82" i="1"/>
  <c r="N40" i="1"/>
  <c r="N6" i="1"/>
  <c r="N7" i="1"/>
  <c r="N9" i="1"/>
  <c r="N12" i="1"/>
  <c r="N15" i="1"/>
  <c r="N16" i="1"/>
  <c r="N17" i="1"/>
  <c r="N18" i="1"/>
  <c r="N20" i="1"/>
  <c r="N21" i="1"/>
  <c r="N22" i="1"/>
  <c r="N23" i="1"/>
  <c r="N24" i="1"/>
  <c r="N25" i="1"/>
  <c r="N26" i="1"/>
  <c r="N27" i="1"/>
  <c r="N30" i="1"/>
  <c r="N32" i="1"/>
  <c r="N33" i="1"/>
  <c r="N34" i="1"/>
  <c r="N35" i="1"/>
  <c r="N36" i="1"/>
  <c r="N37" i="1"/>
  <c r="N39" i="1"/>
  <c r="N41" i="1"/>
  <c r="N44" i="1"/>
  <c r="N45" i="1"/>
  <c r="N46" i="1"/>
  <c r="N47" i="1"/>
  <c r="N48" i="1"/>
  <c r="N49" i="1"/>
  <c r="N50" i="1"/>
  <c r="N51" i="1"/>
  <c r="N52" i="1"/>
  <c r="N53" i="1"/>
  <c r="N54" i="1"/>
  <c r="N57" i="1"/>
  <c r="N59" i="1"/>
  <c r="N63" i="1"/>
  <c r="N64" i="1"/>
  <c r="N67" i="1"/>
  <c r="N72" i="1"/>
  <c r="N75" i="1"/>
  <c r="N76" i="1"/>
  <c r="N77" i="1"/>
  <c r="N78" i="1"/>
  <c r="N80" i="1"/>
  <c r="N82" i="1"/>
  <c r="Y43" i="1"/>
  <c r="Y21" i="1"/>
  <c r="Y31" i="1"/>
  <c r="Y35" i="1"/>
  <c r="Y39" i="1"/>
  <c r="Y41" i="1"/>
  <c r="Y67" i="1"/>
  <c r="Y72" i="1"/>
  <c r="Y65" i="1"/>
  <c r="Y52" i="1"/>
  <c r="Y25" i="1"/>
  <c r="Y51" i="1"/>
  <c r="Y18" i="1"/>
  <c r="Y19" i="1"/>
  <c r="Y59" i="1"/>
  <c r="Y50" i="1"/>
  <c r="Y28" i="1"/>
  <c r="Y46" i="1"/>
  <c r="Y20" i="1"/>
  <c r="Y22" i="1"/>
  <c r="Y58" i="1"/>
  <c r="Y66" i="1"/>
  <c r="Y27" i="1"/>
  <c r="Y24" i="1"/>
  <c r="Y33" i="1"/>
  <c r="Y80" i="1"/>
  <c r="Y48" i="1"/>
  <c r="Y70" i="1"/>
  <c r="Y55" i="1"/>
  <c r="Y23" i="1"/>
  <c r="S66" i="1"/>
  <c r="S28" i="1"/>
  <c r="S65" i="1"/>
  <c r="S42" i="1"/>
  <c r="Y42" i="1"/>
  <c r="AC74" i="1"/>
  <c r="Z10" i="1"/>
  <c r="Z9" i="1"/>
  <c r="Z52" i="1"/>
  <c r="Z11" i="1"/>
  <c r="Z6" i="1"/>
  <c r="Z73" i="1"/>
  <c r="Z27" i="1"/>
  <c r="Y34" i="1"/>
  <c r="P17" i="10"/>
  <c r="AA55" i="10"/>
  <c r="Z12" i="10"/>
  <c r="AB12" i="10" s="1"/>
  <c r="AA12" i="10"/>
  <c r="AH55" i="10"/>
  <c r="AA36" i="10"/>
  <c r="AA69" i="10"/>
  <c r="Z14" i="10"/>
  <c r="AB14" i="10" s="1"/>
  <c r="Z59" i="10"/>
  <c r="AB59" i="10" s="1"/>
  <c r="AA66" i="10"/>
  <c r="Z70" i="10"/>
  <c r="AB70" i="10" s="1"/>
  <c r="AA56" i="10"/>
  <c r="AA32" i="10"/>
  <c r="AA79" i="10"/>
  <c r="AB69" i="10"/>
  <c r="Z32" i="10"/>
  <c r="AB32" i="10" s="1"/>
  <c r="Z56" i="10"/>
  <c r="AB56" i="10" s="1"/>
  <c r="AB68" i="10"/>
  <c r="AB33" i="10"/>
  <c r="AH51" i="10"/>
  <c r="AH29" i="1"/>
  <c r="E14" i="7"/>
  <c r="T74" i="1"/>
  <c r="Y10" i="1"/>
  <c r="T61" i="1"/>
  <c r="AH32" i="1"/>
  <c r="AH46" i="1"/>
  <c r="S14" i="1"/>
  <c r="F6" i="7"/>
  <c r="S71" i="1"/>
  <c r="AA59" i="10"/>
  <c r="AH66" i="10"/>
  <c r="AG47" i="1"/>
  <c r="AH74" i="1"/>
  <c r="Z74" i="1"/>
  <c r="Q52" i="1"/>
  <c r="S52" i="1"/>
  <c r="T68" i="1"/>
  <c r="Z61" i="1"/>
  <c r="AG60" i="1"/>
  <c r="N14" i="1"/>
  <c r="AH8" i="1"/>
  <c r="AH56" i="1"/>
  <c r="R14" i="1"/>
  <c r="T14" i="1"/>
  <c r="D14" i="7"/>
  <c r="AH75" i="10"/>
  <c r="R10" i="1"/>
  <c r="T10" i="1"/>
  <c r="P30" i="10"/>
  <c r="AG35" i="1"/>
  <c r="T73" i="1"/>
  <c r="U17" i="10"/>
  <c r="AH56" i="10"/>
  <c r="AH65" i="10"/>
  <c r="AH10" i="10"/>
  <c r="AJ10" i="10" s="1"/>
  <c r="L42" i="17" s="1"/>
  <c r="T19" i="23"/>
  <c r="K35" i="17"/>
  <c r="V64" i="10"/>
  <c r="AH53" i="10"/>
  <c r="AH78" i="10"/>
  <c r="Z67" i="10"/>
  <c r="AB67" i="10" s="1"/>
  <c r="AH57" i="10"/>
  <c r="AA67" i="10"/>
  <c r="AH60" i="10"/>
  <c r="X30" i="1"/>
  <c r="T30" i="1"/>
  <c r="Z68" i="1"/>
  <c r="AC68" i="1"/>
  <c r="AG84" i="10"/>
  <c r="AC61" i="1"/>
  <c r="AH68" i="1"/>
  <c r="AG68" i="1"/>
  <c r="AH61" i="1"/>
  <c r="AG61" i="1"/>
  <c r="AE30" i="1"/>
  <c r="Z30" i="1"/>
  <c r="AG30" i="1"/>
  <c r="AH30" i="1"/>
  <c r="V58" i="10" l="1"/>
  <c r="AF42" i="10"/>
  <c r="AG42" i="10" s="1"/>
  <c r="P58" i="10"/>
  <c r="AH48" i="10"/>
  <c r="AB58" i="10"/>
  <c r="AA9" i="10"/>
  <c r="Z9" i="10"/>
  <c r="AB9" i="10" s="1"/>
  <c r="AI47" i="10"/>
  <c r="AJ47" i="10" s="1"/>
  <c r="L29" i="17" s="1"/>
  <c r="O29" i="17" s="1"/>
  <c r="AB73" i="10"/>
  <c r="Z81" i="10"/>
  <c r="AB81" i="10" s="1"/>
  <c r="AG13" i="10"/>
  <c r="K59" i="17" s="1"/>
  <c r="AA81" i="10"/>
  <c r="AD33" i="10"/>
  <c r="AH33" i="10" s="1"/>
  <c r="AI33" i="10"/>
  <c r="AJ33" i="10" s="1"/>
  <c r="L60" i="17" s="1"/>
  <c r="AH12" i="10"/>
  <c r="AJ12" i="10" s="1"/>
  <c r="T12" i="23" s="1"/>
  <c r="O47" i="17"/>
  <c r="V13" i="10"/>
  <c r="AI84" i="10"/>
  <c r="AJ84" i="10" s="1"/>
  <c r="L69" i="17" s="1"/>
  <c r="O69" i="17" s="1"/>
  <c r="AH41" i="10"/>
  <c r="AI77" i="10"/>
  <c r="AJ77" i="10" s="1"/>
  <c r="L35" i="17" s="1"/>
  <c r="AH32" i="10"/>
  <c r="V80" i="10"/>
  <c r="AI75" i="10"/>
  <c r="AJ75" i="10" s="1"/>
  <c r="T5" i="23" s="1"/>
  <c r="X13" i="10"/>
  <c r="AE13" i="10" s="1"/>
  <c r="AI56" i="10"/>
  <c r="AJ56" i="10" s="1"/>
  <c r="L84" i="17" s="1"/>
  <c r="AB66" i="10"/>
  <c r="AG81" i="10"/>
  <c r="K63" i="17" s="1"/>
  <c r="AH81" i="10"/>
  <c r="AH22" i="10"/>
  <c r="AI74" i="10"/>
  <c r="AJ74" i="10" s="1"/>
  <c r="L71" i="17" s="1"/>
  <c r="AI44" i="10"/>
  <c r="AJ44" i="10" s="1"/>
  <c r="L26" i="17" s="1"/>
  <c r="AH44" i="10"/>
  <c r="AG24" i="10"/>
  <c r="AI24" i="10" s="1"/>
  <c r="AJ24" i="10" s="1"/>
  <c r="L46" i="17" s="1"/>
  <c r="AI8" i="10"/>
  <c r="AI51" i="10"/>
  <c r="AJ51" i="10" s="1"/>
  <c r="L85" i="17" s="1"/>
  <c r="AH79" i="10"/>
  <c r="V63" i="10"/>
  <c r="AH62" i="10"/>
  <c r="U74" i="10"/>
  <c r="V71" i="10"/>
  <c r="T11" i="23"/>
  <c r="K36" i="17"/>
  <c r="AI79" i="10"/>
  <c r="AJ79" i="10" s="1"/>
  <c r="L36" i="17" s="1"/>
  <c r="V82" i="10"/>
  <c r="AI65" i="10"/>
  <c r="AJ65" i="10" s="1"/>
  <c r="L98" i="17" s="1"/>
  <c r="O98" i="17" s="1"/>
  <c r="AH42" i="10"/>
  <c r="AI52" i="10"/>
  <c r="AJ52" i="10" s="1"/>
  <c r="L106" i="17" s="1"/>
  <c r="AH83" i="10"/>
  <c r="AG83" i="10"/>
  <c r="K68" i="17" s="1"/>
  <c r="AI22" i="10"/>
  <c r="AJ22" i="10" s="1"/>
  <c r="L50" i="17" s="1"/>
  <c r="K50" i="17"/>
  <c r="AG63" i="10"/>
  <c r="AH63" i="10"/>
  <c r="K85" i="17"/>
  <c r="AH58" i="10"/>
  <c r="AH15" i="10"/>
  <c r="AH19" i="10"/>
  <c r="AG31" i="10"/>
  <c r="K43" i="17" s="1"/>
  <c r="AH70" i="10"/>
  <c r="AI53" i="10"/>
  <c r="AJ53" i="10" s="1"/>
  <c r="T24" i="23" s="1"/>
  <c r="O52" i="17"/>
  <c r="O30" i="17"/>
  <c r="K96" i="17"/>
  <c r="AI70" i="10"/>
  <c r="AJ70" i="10" s="1"/>
  <c r="L96" i="17" s="1"/>
  <c r="AI58" i="10"/>
  <c r="AJ58" i="10" s="1"/>
  <c r="L89" i="17" s="1"/>
  <c r="K89" i="17"/>
  <c r="AI19" i="10"/>
  <c r="AJ19" i="10" s="1"/>
  <c r="K49" i="17"/>
  <c r="K51" i="17"/>
  <c r="AI29" i="10"/>
  <c r="AJ29" i="10" s="1"/>
  <c r="L51" i="17" s="1"/>
  <c r="K53" i="17"/>
  <c r="AI25" i="10"/>
  <c r="AJ25" i="10" s="1"/>
  <c r="L53" i="17" s="1"/>
  <c r="O53" i="17" s="1"/>
  <c r="AG67" i="10"/>
  <c r="AH67" i="10"/>
  <c r="AI66" i="10"/>
  <c r="AJ66" i="10" s="1"/>
  <c r="L79" i="17" s="1"/>
  <c r="K79" i="17"/>
  <c r="AG27" i="10"/>
  <c r="AH27" i="10"/>
  <c r="AE17" i="10"/>
  <c r="AI17" i="10" s="1"/>
  <c r="AJ17" i="10" s="1"/>
  <c r="T18" i="23" s="1"/>
  <c r="AB17" i="10"/>
  <c r="K25" i="17"/>
  <c r="AI42" i="10"/>
  <c r="AJ42" i="10" s="1"/>
  <c r="L25" i="17" s="1"/>
  <c r="AI20" i="10"/>
  <c r="AJ20" i="10" s="1"/>
  <c r="L40" i="17" s="1"/>
  <c r="AF85" i="10"/>
  <c r="AH25" i="10"/>
  <c r="AI38" i="10"/>
  <c r="AJ38" i="10" s="1"/>
  <c r="K84" i="17"/>
  <c r="AI50" i="10"/>
  <c r="AJ50" i="10" s="1"/>
  <c r="AG28" i="10"/>
  <c r="K44" i="17" s="1"/>
  <c r="AH29" i="10"/>
  <c r="AE18" i="10"/>
  <c r="AH36" i="10"/>
  <c r="AI78" i="10"/>
  <c r="AJ78" i="10" s="1"/>
  <c r="T17" i="23" s="1"/>
  <c r="O81" i="17"/>
  <c r="O39" i="17"/>
  <c r="AG59" i="10"/>
  <c r="AI59" i="10" s="1"/>
  <c r="AJ59" i="10" s="1"/>
  <c r="AH21" i="10"/>
  <c r="AG34" i="10"/>
  <c r="K69" i="17"/>
  <c r="V17" i="10"/>
  <c r="X76" i="10"/>
  <c r="AB76" i="10" s="1"/>
  <c r="Z85" i="10"/>
  <c r="AB85" i="10" s="1"/>
  <c r="Z63" i="10"/>
  <c r="AB63" i="10" s="1"/>
  <c r="AI43" i="10"/>
  <c r="AJ43" i="10" s="1"/>
  <c r="L19" i="17" s="1"/>
  <c r="O19" i="17" s="1"/>
  <c r="AI48" i="10"/>
  <c r="AJ48" i="10" s="1"/>
  <c r="L21" i="17" s="1"/>
  <c r="O21" i="17" s="1"/>
  <c r="AA27" i="10"/>
  <c r="AA63" i="10"/>
  <c r="O22" i="17"/>
  <c r="AI63" i="10"/>
  <c r="AJ63" i="10" s="1"/>
  <c r="L94" i="17" s="1"/>
  <c r="K94" i="17"/>
  <c r="AI21" i="10"/>
  <c r="AJ21" i="10" s="1"/>
  <c r="L45" i="17" s="1"/>
  <c r="K45" i="17"/>
  <c r="K31" i="17"/>
  <c r="AI41" i="10"/>
  <c r="AJ41" i="10" s="1"/>
  <c r="L31" i="17" s="1"/>
  <c r="K93" i="17"/>
  <c r="AI73" i="10"/>
  <c r="AJ73" i="10" s="1"/>
  <c r="L93" i="17" s="1"/>
  <c r="AH61" i="10"/>
  <c r="AG61" i="10"/>
  <c r="AI11" i="10"/>
  <c r="V45" i="10"/>
  <c r="X45" i="10"/>
  <c r="AE45" i="10" s="1"/>
  <c r="T10" i="23"/>
  <c r="L55" i="17"/>
  <c r="AH14" i="10"/>
  <c r="AG14" i="10"/>
  <c r="AI12" i="10"/>
  <c r="K48" i="17"/>
  <c r="AH9" i="10"/>
  <c r="AJ9" i="10" s="1"/>
  <c r="AG9" i="10"/>
  <c r="AH69" i="10"/>
  <c r="AG69" i="10"/>
  <c r="AG45" i="10"/>
  <c r="AI26" i="10"/>
  <c r="AJ26" i="10" s="1"/>
  <c r="L58" i="17" s="1"/>
  <c r="K58" i="17"/>
  <c r="AI15" i="10"/>
  <c r="AJ15" i="10" s="1"/>
  <c r="L66" i="17" s="1"/>
  <c r="K66" i="17"/>
  <c r="K95" i="17"/>
  <c r="AI55" i="10"/>
  <c r="AJ55" i="10" s="1"/>
  <c r="L95" i="17" s="1"/>
  <c r="AH68" i="10"/>
  <c r="AG68" i="10"/>
  <c r="O42" i="17"/>
  <c r="L48" i="17"/>
  <c r="O62" i="17"/>
  <c r="AI10" i="10"/>
  <c r="K42" i="17"/>
  <c r="AB80" i="10"/>
  <c r="AI62" i="10"/>
  <c r="AJ62" i="10" s="1"/>
  <c r="L86" i="17" s="1"/>
  <c r="K86" i="17"/>
  <c r="AG82" i="10"/>
  <c r="AB82" i="10"/>
  <c r="AB71" i="10"/>
  <c r="AE71" i="10"/>
  <c r="AB64" i="10"/>
  <c r="AG64" i="10"/>
  <c r="K91" i="17"/>
  <c r="AI60" i="10"/>
  <c r="K82" i="17"/>
  <c r="AI32" i="10"/>
  <c r="AJ32" i="10" s="1"/>
  <c r="O34" i="17"/>
  <c r="AI36" i="10"/>
  <c r="AJ36" i="10" s="1"/>
  <c r="K27" i="17"/>
  <c r="AI57" i="10"/>
  <c r="AJ57" i="10" s="1"/>
  <c r="K88" i="17"/>
  <c r="O78" i="17"/>
  <c r="K67" i="17"/>
  <c r="AI76" i="10"/>
  <c r="AJ76" i="10" s="1"/>
  <c r="K38" i="17"/>
  <c r="AI30" i="10"/>
  <c r="AJ30" i="10" s="1"/>
  <c r="L38" i="17" s="1"/>
  <c r="Z46" i="10"/>
  <c r="AA46" i="10"/>
  <c r="T23" i="23" l="1"/>
  <c r="O35" i="17"/>
  <c r="AI31" i="10"/>
  <c r="AJ31" i="10" s="1"/>
  <c r="L43" i="17" s="1"/>
  <c r="AI13" i="10"/>
  <c r="AJ13" i="10" s="1"/>
  <c r="L59" i="17" s="1"/>
  <c r="O59" i="17" s="1"/>
  <c r="O26" i="17"/>
  <c r="AI81" i="10"/>
  <c r="AJ81" i="10" s="1"/>
  <c r="L63" i="17" s="1"/>
  <c r="O63" i="17" s="1"/>
  <c r="K92" i="17"/>
  <c r="AI71" i="10"/>
  <c r="AJ71" i="10" s="1"/>
  <c r="L82" i="17" s="1"/>
  <c r="O84" i="17"/>
  <c r="AJ60" i="10"/>
  <c r="L91" i="17" s="1"/>
  <c r="O46" i="17"/>
  <c r="L37" i="17"/>
  <c r="O37" i="17" s="1"/>
  <c r="L72" i="17"/>
  <c r="T14" i="23"/>
  <c r="AB13" i="10"/>
  <c r="O85" i="17"/>
  <c r="AI83" i="10"/>
  <c r="AJ83" i="10" s="1"/>
  <c r="L68" i="17" s="1"/>
  <c r="O71" i="17"/>
  <c r="K46" i="17"/>
  <c r="O50" i="17"/>
  <c r="L64" i="17"/>
  <c r="O64" i="17" s="1"/>
  <c r="O36" i="17"/>
  <c r="O106" i="17"/>
  <c r="O107" i="17" s="1"/>
  <c r="O79" i="17"/>
  <c r="L100" i="17"/>
  <c r="O40" i="17"/>
  <c r="O60" i="17"/>
  <c r="T8" i="23"/>
  <c r="L33" i="17"/>
  <c r="AI67" i="10"/>
  <c r="AJ67" i="10" s="1"/>
  <c r="L83" i="17" s="1"/>
  <c r="K83" i="17"/>
  <c r="T7" i="23"/>
  <c r="L32" i="17"/>
  <c r="AI28" i="10"/>
  <c r="AJ28" i="10" s="1"/>
  <c r="L44" i="17" s="1"/>
  <c r="O51" i="17"/>
  <c r="AG85" i="10"/>
  <c r="AH85" i="10"/>
  <c r="AI27" i="10"/>
  <c r="AJ27" i="10" s="1"/>
  <c r="L57" i="17" s="1"/>
  <c r="K57" i="17"/>
  <c r="AI34" i="10"/>
  <c r="AJ34" i="10" s="1"/>
  <c r="L54" i="17" s="1"/>
  <c r="K54" i="17"/>
  <c r="O25" i="17"/>
  <c r="T15" i="23"/>
  <c r="L49" i="17"/>
  <c r="L67" i="17"/>
  <c r="T16" i="23"/>
  <c r="L88" i="17"/>
  <c r="T22" i="23"/>
  <c r="AF46" i="10"/>
  <c r="AB46" i="10"/>
  <c r="O86" i="17"/>
  <c r="O38" i="17"/>
  <c r="T6" i="23"/>
  <c r="L27" i="17"/>
  <c r="O48" i="17"/>
  <c r="L92" i="17"/>
  <c r="T21" i="23"/>
  <c r="AI69" i="10"/>
  <c r="AJ69" i="10" s="1"/>
  <c r="K87" i="17"/>
  <c r="O55" i="17"/>
  <c r="O45" i="17"/>
  <c r="T13" i="23"/>
  <c r="L41" i="17"/>
  <c r="AI64" i="10"/>
  <c r="AJ64" i="10" s="1"/>
  <c r="L99" i="17" s="1"/>
  <c r="K99" i="17"/>
  <c r="AI80" i="10"/>
  <c r="AJ80" i="10" s="1"/>
  <c r="L61" i="17" s="1"/>
  <c r="K61" i="17"/>
  <c r="O58" i="17"/>
  <c r="AI61" i="10"/>
  <c r="AJ61" i="10" s="1"/>
  <c r="L90" i="17" s="1"/>
  <c r="K90" i="17"/>
  <c r="AI68" i="10"/>
  <c r="AJ68" i="10" s="1"/>
  <c r="L80" i="17" s="1"/>
  <c r="K80" i="17"/>
  <c r="O95" i="17"/>
  <c r="AI9" i="10"/>
  <c r="K56" i="17"/>
  <c r="O94" i="17"/>
  <c r="AB45" i="10"/>
  <c r="T9" i="23"/>
  <c r="L56" i="17"/>
  <c r="O93" i="17"/>
  <c r="K23" i="17"/>
  <c r="AI45" i="10"/>
  <c r="AJ45" i="10" s="1"/>
  <c r="L23" i="17" s="1"/>
  <c r="K97" i="17"/>
  <c r="AI82" i="10"/>
  <c r="AJ82" i="10" s="1"/>
  <c r="L97" i="17" s="1"/>
  <c r="O66" i="17"/>
  <c r="O31" i="17"/>
  <c r="O89" i="17"/>
  <c r="AI14" i="10"/>
  <c r="AJ14" i="10" s="1"/>
  <c r="L65" i="17" s="1"/>
  <c r="K65" i="17"/>
  <c r="O43" i="17" l="1"/>
  <c r="O82" i="17"/>
  <c r="O91" i="17"/>
  <c r="O68" i="17"/>
  <c r="O72" i="17"/>
  <c r="O100" i="17"/>
  <c r="O57" i="17"/>
  <c r="O49" i="17"/>
  <c r="AI85" i="10"/>
  <c r="AJ85" i="10" s="1"/>
  <c r="L70" i="17" s="1"/>
  <c r="K70" i="17"/>
  <c r="O83" i="17"/>
  <c r="O33" i="17"/>
  <c r="O54" i="17"/>
  <c r="O44" i="17"/>
  <c r="O32" i="17"/>
  <c r="O92" i="17"/>
  <c r="O90" i="17"/>
  <c r="O65" i="17"/>
  <c r="O97" i="17"/>
  <c r="O56" i="17"/>
  <c r="O61" i="17"/>
  <c r="O27" i="17"/>
  <c r="AG46" i="10"/>
  <c r="AH46" i="10"/>
  <c r="O23" i="17"/>
  <c r="O80" i="17"/>
  <c r="O88" i="17"/>
  <c r="O99" i="17"/>
  <c r="O41" i="17"/>
  <c r="L87" i="17"/>
  <c r="T20" i="23"/>
  <c r="O67" i="17"/>
  <c r="O70" i="17" l="1"/>
  <c r="O87" i="17"/>
  <c r="O101" i="17" s="1"/>
  <c r="AI46" i="10"/>
  <c r="AJ46" i="10" s="1"/>
  <c r="L24" i="17" s="1"/>
  <c r="K24" i="17"/>
  <c r="O24" i="17" l="1"/>
  <c r="O109" i="17" l="1"/>
  <c r="O7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SoniaCasas</author>
  </authors>
  <commentList>
    <comment ref="J10" authorId="0" shapeId="0" xr:uid="{00000000-0006-0000-0400-000001000000}">
      <text>
        <r>
          <rPr>
            <b/>
            <sz val="9"/>
            <color indexed="81"/>
            <rFont val="Tahoma"/>
            <family val="2"/>
          </rPr>
          <t>Sonia Esperanza Casas Merchan:</t>
        </r>
        <r>
          <rPr>
            <sz val="9"/>
            <color indexed="81"/>
            <rFont val="Tahoma"/>
            <family val="2"/>
          </rPr>
          <t xml:space="preserve">
era de capacidad y lo cambiaron a flujo</t>
        </r>
      </text>
    </comment>
    <comment ref="J14" authorId="0" shapeId="0" xr:uid="{00000000-0006-0000-0400-000002000000}">
      <text>
        <r>
          <rPr>
            <b/>
            <sz val="9"/>
            <color indexed="81"/>
            <rFont val="Tahoma"/>
            <family val="2"/>
          </rPr>
          <t>Sonia Esperanza Casas Merchan:</t>
        </r>
        <r>
          <rPr>
            <sz val="9"/>
            <color indexed="81"/>
            <rFont val="Tahoma"/>
            <family val="2"/>
          </rPr>
          <t xml:space="preserve">
era de capacidad y lo cambiaron a flujo</t>
        </r>
      </text>
    </comment>
    <comment ref="Y14" authorId="0" shapeId="0" xr:uid="{2491C5D8-7167-42A7-BCD4-DF12F3FB6C48}">
      <text>
        <r>
          <rPr>
            <b/>
            <sz val="9"/>
            <color indexed="81"/>
            <rFont val="Tahoma"/>
            <family val="2"/>
          </rPr>
          <t>Sonia Esperanza Casas Merchan:</t>
        </r>
        <r>
          <rPr>
            <sz val="9"/>
            <color indexed="81"/>
            <rFont val="Tahoma"/>
            <family val="2"/>
          </rPr>
          <t xml:space="preserve">
ERA 34,36% PRELIMINAR; EL ÁREA SOLICITA AJUSTAR A 35,5% DATO DEFINITIVO- AJUSTADO OK</t>
        </r>
      </text>
    </comment>
    <comment ref="J15" authorId="0" shapeId="0" xr:uid="{00000000-0006-0000-0400-000004000000}">
      <text>
        <r>
          <rPr>
            <b/>
            <sz val="9"/>
            <color indexed="81"/>
            <rFont val="Tahoma"/>
            <family val="2"/>
          </rPr>
          <t>Sonia Esperanza Casas Merchan:</t>
        </r>
        <r>
          <rPr>
            <sz val="9"/>
            <color indexed="81"/>
            <rFont val="Tahoma"/>
            <family val="2"/>
          </rPr>
          <t xml:space="preserve">
DEBERÍA SER DE FLUJO</t>
        </r>
      </text>
    </comment>
    <comment ref="N16" authorId="0" shapeId="0" xr:uid="{00000000-0006-0000-0400-000005000000}">
      <text>
        <r>
          <rPr>
            <b/>
            <sz val="9"/>
            <color indexed="81"/>
            <rFont val="Tahoma"/>
            <family val="2"/>
          </rPr>
          <t>Sonia Esperanza Casas Merchan:</t>
        </r>
        <r>
          <rPr>
            <sz val="9"/>
            <color indexed="81"/>
            <rFont val="Tahoma"/>
            <family val="2"/>
          </rPr>
          <t xml:space="preserve">
Se había solicitado ajuste a 5,59% en el oficio No. 1, pero no se viabilizó sino solo para 2016. queda inconsistente la serie.</t>
        </r>
      </text>
    </comment>
    <comment ref="J17" authorId="0" shapeId="0" xr:uid="{00000000-0006-0000-0400-000006000000}">
      <text>
        <r>
          <rPr>
            <b/>
            <sz val="9"/>
            <color indexed="81"/>
            <rFont val="Tahoma"/>
            <family val="2"/>
          </rPr>
          <t>En el oficio No. 1 se solicitó ajuste a acumulado, a lo que responde que es inviable; queda como flujo</t>
        </r>
      </text>
    </comment>
    <comment ref="L17" authorId="0" shapeId="0" xr:uid="{00000000-0006-0000-0400-000007000000}">
      <text>
        <r>
          <rPr>
            <b/>
            <sz val="9"/>
            <color indexed="81"/>
            <rFont val="Tahoma"/>
            <family val="2"/>
          </rPr>
          <t>Sonia Esperanza Casas Merchan:</t>
        </r>
        <r>
          <rPr>
            <sz val="9"/>
            <color indexed="81"/>
            <rFont val="Tahoma"/>
            <family val="2"/>
          </rPr>
          <t xml:space="preserve">
suma la LB</t>
        </r>
      </text>
    </comment>
    <comment ref="L18" authorId="0" shapeId="0" xr:uid="{00000000-0006-0000-0400-000008000000}">
      <text>
        <r>
          <rPr>
            <b/>
            <sz val="9"/>
            <color indexed="81"/>
            <rFont val="Tahoma"/>
            <family val="2"/>
          </rPr>
          <t>Sonia Esperanza Casas Merchan:</t>
        </r>
        <r>
          <rPr>
            <sz val="9"/>
            <color indexed="81"/>
            <rFont val="Tahoma"/>
            <family val="2"/>
          </rPr>
          <t xml:space="preserve">
La MC inicial es del 86,31%, se solicitó reducción, fue aprobada por DNP en 2015 y aplicada en SINERGIA</t>
        </r>
      </text>
    </comment>
    <comment ref="M18" authorId="0" shapeId="0" xr:uid="{00000000-0006-0000-0400-000009000000}">
      <text>
        <r>
          <rPr>
            <b/>
            <sz val="9"/>
            <color indexed="81"/>
            <rFont val="Tahoma"/>
            <family val="2"/>
          </rPr>
          <t>Sonia Esperanza Casas Merchan:</t>
        </r>
        <r>
          <rPr>
            <sz val="9"/>
            <color indexed="81"/>
            <rFont val="Tahoma"/>
            <family val="2"/>
          </rPr>
          <t xml:space="preserve">
La LB inicial era de 71,7% y se solicitó ajustar a 71,47%, aprobado por DNP en 2015 y aplicado en SINERGIA</t>
        </r>
      </text>
    </comment>
    <comment ref="N18" authorId="0" shapeId="0" xr:uid="{00000000-0006-0000-0400-00000A000000}">
      <text>
        <r>
          <rPr>
            <b/>
            <sz val="9"/>
            <color indexed="81"/>
            <rFont val="Tahoma"/>
            <family val="2"/>
          </rPr>
          <t>Sonia Esperanza Casas Merchan:</t>
        </r>
        <r>
          <rPr>
            <sz val="9"/>
            <color indexed="81"/>
            <rFont val="Tahoma"/>
            <family val="2"/>
          </rPr>
          <t xml:space="preserve">
En SINERGIA no había dato; ya lo incluyeron</t>
        </r>
      </text>
    </comment>
    <comment ref="Q18" authorId="0" shapeId="0" xr:uid="{00000000-0006-0000-0400-00000B000000}">
      <text>
        <r>
          <rPr>
            <b/>
            <sz val="9"/>
            <color indexed="81"/>
            <rFont val="Tahoma"/>
            <family val="2"/>
          </rPr>
          <t>Sonia Esperanza Casas Merchan:</t>
        </r>
        <r>
          <rPr>
            <sz val="9"/>
            <color indexed="81"/>
            <rFont val="Tahoma"/>
            <family val="2"/>
          </rPr>
          <t xml:space="preserve">
En SINERGIA no había dato; ya lo incluyeron</t>
        </r>
      </text>
    </comment>
    <comment ref="W18" authorId="0" shapeId="0" xr:uid="{00000000-0006-0000-0400-00000C000000}">
      <text>
        <r>
          <rPr>
            <b/>
            <sz val="9"/>
            <color indexed="81"/>
            <rFont val="Tahoma"/>
            <family val="2"/>
          </rPr>
          <t>Sonia Esperanza Casas Merchan:</t>
        </r>
        <r>
          <rPr>
            <sz val="9"/>
            <color indexed="81"/>
            <rFont val="Tahoma"/>
            <family val="2"/>
          </rPr>
          <t xml:space="preserve">
En SINERGIA no había dato; ya lo incluyeron</t>
        </r>
      </text>
    </comment>
    <comment ref="AD18" authorId="0" shapeId="0" xr:uid="{00000000-0006-0000-0400-00000D000000}">
      <text>
        <r>
          <rPr>
            <b/>
            <sz val="9"/>
            <color indexed="81"/>
            <rFont val="Tahoma"/>
            <family val="2"/>
          </rPr>
          <t>Sonia Esperanza Casas Merchan:</t>
        </r>
        <r>
          <rPr>
            <sz val="9"/>
            <color indexed="81"/>
            <rFont val="Tahoma"/>
            <family val="2"/>
          </rPr>
          <t xml:space="preserve">
En SINERGIA no había dato; ya lo incluyeron, pero no es lo ajustado</t>
        </r>
      </text>
    </comment>
    <comment ref="C19" authorId="0" shapeId="0" xr:uid="{00000000-0006-0000-0400-00000E000000}">
      <text>
        <r>
          <rPr>
            <b/>
            <sz val="9"/>
            <color indexed="81"/>
            <rFont val="Tahoma"/>
            <family val="2"/>
          </rPr>
          <t>DNP conceptuó como INVIABLE solicitud de ajustes mediante oficio 20183600279821 del 04/05/18</t>
        </r>
      </text>
    </comment>
    <comment ref="L19" authorId="0" shapeId="0" xr:uid="{00000000-0006-0000-0400-00000F000000}">
      <text>
        <r>
          <rPr>
            <b/>
            <sz val="9"/>
            <color indexed="81"/>
            <rFont val="Tahoma"/>
            <family val="2"/>
          </rPr>
          <t>Sonia Esperanza Casas Merchan:</t>
        </r>
        <r>
          <rPr>
            <sz val="9"/>
            <color indexed="81"/>
            <rFont val="Tahoma"/>
            <family val="2"/>
          </rPr>
          <t xml:space="preserve">
La MC inicial es de 84,33%; se solicitó reducción a 71,13% con justificación técnica, fue autorizada inicialmente por DNP; pero en oficio 20183600279821 del 4/05/18 informan que es inviable; queda meta inconsistente</t>
        </r>
      </text>
    </comment>
    <comment ref="M19" authorId="0" shapeId="0" xr:uid="{00000000-0006-0000-0400-000010000000}">
      <text>
        <r>
          <rPr>
            <b/>
            <sz val="9"/>
            <color indexed="81"/>
            <rFont val="Tahoma"/>
            <family val="2"/>
          </rPr>
          <t>Sonia Esperanza Casas Merchan:</t>
        </r>
        <r>
          <rPr>
            <sz val="9"/>
            <color indexed="81"/>
            <rFont val="Tahoma"/>
            <family val="2"/>
          </rPr>
          <t xml:space="preserve">
La LB inicial era de 73% y se solicitó ajuste a 60,74% aprobado inicialmente por DNP en 2015; mediante oficio 20183600279821 del 04/05 responden que es inviable; por lo que queda inconsistente</t>
        </r>
      </text>
    </comment>
    <comment ref="N19" authorId="0" shapeId="0" xr:uid="{00000000-0006-0000-0400-000011000000}">
      <text>
        <r>
          <rPr>
            <b/>
            <sz val="9"/>
            <color indexed="81"/>
            <rFont val="Tahoma"/>
            <family val="2"/>
          </rPr>
          <t>Sonia Esperanza Casas Merchan:</t>
        </r>
        <r>
          <rPr>
            <sz val="9"/>
            <color indexed="81"/>
            <rFont val="Tahoma"/>
            <family val="2"/>
          </rPr>
          <t xml:space="preserve">
En SINERGIA aparece 77,54%; se solicitó la reducción en oficio No. 1 a  70,70%. Mediante oficio 20183600279821 del 04/05 DNP responde que es inviable y queda como estaba inicialmente.</t>
        </r>
      </text>
    </comment>
    <comment ref="Q19" authorId="0" shapeId="0" xr:uid="{00000000-0006-0000-0400-000012000000}">
      <text>
        <r>
          <rPr>
            <b/>
            <sz val="9"/>
            <color indexed="81"/>
            <rFont val="Tahoma"/>
            <family val="2"/>
          </rPr>
          <t>Sonia Esperanza Casas Merchan:</t>
        </r>
        <r>
          <rPr>
            <sz val="9"/>
            <color indexed="81"/>
            <rFont val="Tahoma"/>
            <family val="2"/>
          </rPr>
          <t xml:space="preserve">
La LB inicial era de 79,80%, Se solicitó reajuste a 70,50% inicialmente aprobado por DNP; mediante oficio 20183600279821 del 04/05 responden que es inviable y no se ajustan los cambios</t>
        </r>
      </text>
    </comment>
    <comment ref="W19" authorId="0" shapeId="0" xr:uid="{00000000-0006-0000-0400-000013000000}">
      <text>
        <r>
          <rPr>
            <b/>
            <sz val="9"/>
            <color indexed="81"/>
            <rFont val="Tahoma"/>
            <family val="2"/>
          </rPr>
          <t>Sonia Esperanza Casas Merchan:</t>
        </r>
        <r>
          <rPr>
            <sz val="9"/>
            <color indexed="81"/>
            <rFont val="Tahoma"/>
            <family val="2"/>
          </rPr>
          <t xml:space="preserve">
En SINERGIA aparece como 82,07%, se solicitó la reducción de la MC y anuales  a 70,93%; no obstante, mediante oficio 20183600279821 del 04/05 se responde que es INVIABLE el cambio; queda con datos iniciales</t>
        </r>
      </text>
    </comment>
    <comment ref="AD19" authorId="0" shapeId="0" xr:uid="{00000000-0006-0000-0400-000014000000}">
      <text>
        <r>
          <rPr>
            <b/>
            <sz val="9"/>
            <color indexed="81"/>
            <rFont val="Tahoma"/>
            <family val="2"/>
          </rPr>
          <t>Sonia Esperanza Casas Merchan:</t>
        </r>
        <r>
          <rPr>
            <sz val="9"/>
            <color indexed="81"/>
            <rFont val="Tahoma"/>
            <family val="2"/>
          </rPr>
          <t xml:space="preserve">
la meta inicial era 84,33% se solicitó ajuste a 71,13%, pero el DNP mediante oficio 20183600279821 del 04/05 responde que es INVIABLE el ajuste; por tanto queda con los datos iniciales</t>
        </r>
      </text>
    </comment>
    <comment ref="L20" authorId="0" shapeId="0" xr:uid="{00000000-0006-0000-0400-000015000000}">
      <text>
        <r>
          <rPr>
            <b/>
            <sz val="9"/>
            <color indexed="81"/>
            <rFont val="Tahoma"/>
            <family val="2"/>
          </rPr>
          <t>Sonia Esperanza Casas Merchan:</t>
        </r>
        <r>
          <rPr>
            <sz val="9"/>
            <color indexed="81"/>
            <rFont val="Tahoma"/>
            <family val="2"/>
          </rPr>
          <t xml:space="preserve">
Esta meta tiene solicitud de ajuste  de 135.694 a 113.658, aprobada por DNP  en 2015 y pendiente por aplicar.</t>
        </r>
      </text>
    </comment>
    <comment ref="N20" authorId="0" shapeId="0" xr:uid="{00000000-0006-0000-0400-000016000000}">
      <text>
        <r>
          <rPr>
            <b/>
            <sz val="9"/>
            <color indexed="81"/>
            <rFont val="Tahoma"/>
            <family val="2"/>
          </rPr>
          <t>Sonia Esperanza Casas Merchan:</t>
        </r>
        <r>
          <rPr>
            <sz val="9"/>
            <color indexed="81"/>
            <rFont val="Tahoma"/>
            <family val="2"/>
          </rPr>
          <t xml:space="preserve">
En SINERGIA aparece como 120.180, pero al aprobarse la reducción, debe ajustarse a 110.658</t>
        </r>
      </text>
    </comment>
    <comment ref="Q20" authorId="0" shapeId="0" xr:uid="{00000000-0006-0000-0400-000017000000}">
      <text>
        <r>
          <rPr>
            <b/>
            <sz val="9"/>
            <color indexed="81"/>
            <rFont val="Tahoma"/>
            <family val="2"/>
          </rPr>
          <t>Sonia Esperanza Casas Merchan:</t>
        </r>
        <r>
          <rPr>
            <sz val="9"/>
            <color indexed="81"/>
            <rFont val="Tahoma"/>
            <family val="2"/>
          </rPr>
          <t xml:space="preserve">
En SINERGIA aparece como 125.441, pero al aprobarse la reducción se ajusta la meta a 111.658</t>
        </r>
      </text>
    </comment>
    <comment ref="W20" authorId="0" shapeId="0" xr:uid="{00000000-0006-0000-0400-000018000000}">
      <text>
        <r>
          <rPr>
            <b/>
            <sz val="9"/>
            <color indexed="81"/>
            <rFont val="Tahoma"/>
            <family val="2"/>
          </rPr>
          <t>Sonia Esperanza Casas Merchan:</t>
        </r>
        <r>
          <rPr>
            <sz val="9"/>
            <color indexed="81"/>
            <rFont val="Tahoma"/>
            <family val="2"/>
          </rPr>
          <t xml:space="preserve">
En SINERGIA aparece como 130.703, pero al aprobarse la reducción de MC se ajusta a 112.658</t>
        </r>
      </text>
    </comment>
    <comment ref="AD20" authorId="0" shapeId="0" xr:uid="{00000000-0006-0000-0400-000019000000}">
      <text>
        <r>
          <rPr>
            <b/>
            <sz val="9"/>
            <color indexed="81"/>
            <rFont val="Tahoma"/>
            <family val="2"/>
          </rPr>
          <t>Sonia Esperanza Casas Merchan:</t>
        </r>
        <r>
          <rPr>
            <sz val="9"/>
            <color indexed="81"/>
            <rFont val="Tahoma"/>
            <family val="2"/>
          </rPr>
          <t xml:space="preserve">
La M2018 está en 135.964 en SINERGIA; con el ajuste pasaría a 113.658</t>
        </r>
      </text>
    </comment>
    <comment ref="J21" authorId="0" shapeId="0" xr:uid="{00000000-0006-0000-0400-00001A000000}">
      <text>
        <r>
          <rPr>
            <b/>
            <sz val="9"/>
            <color indexed="81"/>
            <rFont val="Tahoma"/>
            <family val="2"/>
          </rPr>
          <t>Sonia Esperanza Casas Merchan:</t>
        </r>
        <r>
          <rPr>
            <sz val="9"/>
            <color indexed="81"/>
            <rFont val="Tahoma"/>
            <family val="2"/>
          </rPr>
          <t xml:space="preserve">
Era de capacidad; en correo del 23/04 se solicita ajuste a flujo</t>
        </r>
      </text>
    </comment>
    <comment ref="M22" authorId="0" shapeId="0" xr:uid="{00000000-0006-0000-0400-00001B000000}">
      <text>
        <r>
          <rPr>
            <b/>
            <sz val="9"/>
            <color indexed="81"/>
            <rFont val="Tahoma"/>
            <family val="2"/>
          </rPr>
          <t>Sonia Esperanza Casas Merchan:</t>
        </r>
        <r>
          <rPr>
            <sz val="9"/>
            <color indexed="81"/>
            <rFont val="Tahoma"/>
            <family val="2"/>
          </rPr>
          <t xml:space="preserve">
se cambio lb</t>
        </r>
      </text>
    </comment>
    <comment ref="J23" authorId="0" shapeId="0" xr:uid="{00000000-0006-0000-0400-00001C000000}">
      <text>
        <r>
          <rPr>
            <b/>
            <sz val="9"/>
            <color indexed="81"/>
            <rFont val="Tahoma"/>
            <family val="2"/>
          </rPr>
          <t>Sonia Esperanza Casas Merchan:</t>
        </r>
        <r>
          <rPr>
            <sz val="9"/>
            <color indexed="81"/>
            <rFont val="Tahoma"/>
            <family val="2"/>
          </rPr>
          <t xml:space="preserve">
Era de capacidad; lo cambiaron a Acumulado, y luego a FLUJO. Solicitud remitida el 24/07 aprobada por DNP el 01/08/18</t>
        </r>
      </text>
    </comment>
    <comment ref="M23" authorId="0" shapeId="0" xr:uid="{00000000-0006-0000-0400-00001D000000}">
      <text>
        <r>
          <rPr>
            <b/>
            <sz val="9"/>
            <color indexed="81"/>
            <rFont val="Tahoma"/>
            <family val="2"/>
          </rPr>
          <t>Sonia Esperanza Casas Merchan:</t>
        </r>
        <r>
          <rPr>
            <sz val="9"/>
            <color indexed="81"/>
            <rFont val="Tahoma"/>
            <family val="2"/>
          </rPr>
          <t xml:space="preserve">
La LB inicial era de 404.056 y se solicitó ajuste a 362.740 aprobado por DNP</t>
        </r>
      </text>
    </comment>
    <comment ref="J24" authorId="0" shapeId="0" xr:uid="{00000000-0006-0000-0400-00001E000000}">
      <text>
        <r>
          <rPr>
            <b/>
            <sz val="9"/>
            <color indexed="81"/>
            <rFont val="Tahoma"/>
            <family val="2"/>
          </rPr>
          <t>Sonia Esperanza Casas Merchan:</t>
        </r>
        <r>
          <rPr>
            <sz val="9"/>
            <color indexed="81"/>
            <rFont val="Tahoma"/>
            <family val="2"/>
          </rPr>
          <t xml:space="preserve">
Era de capacidad; en correo del 23/04 se solicita ajuste a flujo y fue APROBADO OK</t>
        </r>
      </text>
    </comment>
    <comment ref="J25" authorId="0" shapeId="0" xr:uid="{5DDF88AA-C145-443B-8AEB-A82AB5462538}">
      <text>
        <r>
          <rPr>
            <b/>
            <sz val="9"/>
            <color indexed="81"/>
            <rFont val="Tahoma"/>
            <family val="2"/>
          </rPr>
          <t>Sonia Esperanza Casas Merchan:</t>
        </r>
        <r>
          <rPr>
            <sz val="9"/>
            <color indexed="81"/>
            <rFont val="Tahoma"/>
            <family val="2"/>
          </rPr>
          <t xml:space="preserve">
Tiene acumulación de CAPACIDAD, por su comportamiento se solicita cambio a FLUJO</t>
        </r>
      </text>
    </comment>
    <comment ref="J28" authorId="0" shapeId="0" xr:uid="{00000000-0006-0000-0400-00001F000000}">
      <text>
        <r>
          <rPr>
            <b/>
            <sz val="9"/>
            <color indexed="81"/>
            <rFont val="Tahoma"/>
            <family val="2"/>
          </rPr>
          <t>Sonia Esperanza Casas Merchan:</t>
        </r>
        <r>
          <rPr>
            <sz val="9"/>
            <color indexed="81"/>
            <rFont val="Tahoma"/>
            <family val="2"/>
          </rPr>
          <t xml:space="preserve">
Era de capacidad; en correo del 23/04 se solicita ajuste a flujo y FUE APROBADO OK</t>
        </r>
      </text>
    </comment>
    <comment ref="M29" authorId="0" shapeId="0" xr:uid="{00000000-0006-0000-0400-000020000000}">
      <text>
        <r>
          <rPr>
            <b/>
            <sz val="9"/>
            <color indexed="81"/>
            <rFont val="Tahoma"/>
            <family val="2"/>
          </rPr>
          <t>Sonia Esperanza Casas Merchan:</t>
        </r>
        <r>
          <rPr>
            <sz val="9"/>
            <color indexed="81"/>
            <rFont val="Tahoma"/>
            <family val="2"/>
          </rPr>
          <t xml:space="preserve">
La LB inicial era de 72,86% y se solicitó ajuste a 72,76% aprobado por DNP en 2015</t>
        </r>
      </text>
    </comment>
    <comment ref="J30" authorId="0" shapeId="0" xr:uid="{00000000-0006-0000-0400-000021000000}">
      <text>
        <r>
          <rPr>
            <b/>
            <sz val="9"/>
            <color indexed="81"/>
            <rFont val="Tahoma"/>
            <family val="2"/>
          </rPr>
          <t>Sonia Esperanza Casas Merchan:</t>
        </r>
        <r>
          <rPr>
            <sz val="9"/>
            <color indexed="81"/>
            <rFont val="Tahoma"/>
            <family val="2"/>
          </rPr>
          <t xml:space="preserve">
era de flujo, lo cambiaron a acumulado</t>
        </r>
      </text>
    </comment>
    <comment ref="L30" authorId="0" shapeId="0" xr:uid="{00000000-0006-0000-0400-000022000000}">
      <text>
        <r>
          <rPr>
            <b/>
            <sz val="9"/>
            <color indexed="81"/>
            <rFont val="Tahoma"/>
            <family val="2"/>
          </rPr>
          <t>Sonia Esperanza Casas Merchan:</t>
        </r>
        <r>
          <rPr>
            <sz val="9"/>
            <color indexed="81"/>
            <rFont val="Tahoma"/>
            <family val="2"/>
          </rPr>
          <t xml:space="preserve">
La MC inicial era de 582.001; se solicitó ajuste a 500.798. Se reiteró solicitud el 24/07/18. DNP AJUSTÓ EN SINERGIA (01/08/18)</t>
        </r>
      </text>
    </comment>
    <comment ref="M30" authorId="0" shapeId="0" xr:uid="{00000000-0006-0000-0400-000023000000}">
      <text>
        <r>
          <rPr>
            <b/>
            <sz val="9"/>
            <color indexed="81"/>
            <rFont val="Tahoma"/>
            <family val="2"/>
          </rPr>
          <t>Sonia Esperanza Casas Merchan:</t>
        </r>
        <r>
          <rPr>
            <sz val="9"/>
            <color indexed="81"/>
            <rFont val="Tahoma"/>
            <family val="2"/>
          </rPr>
          <t xml:space="preserve">
La LB inicial era 492.798 y se solicitó ajuste a 432.372.  Se reiteró solicitud el 24/07/18. DNP AJUSTÓ EN SINERGIA (01/08/18)</t>
        </r>
      </text>
    </comment>
    <comment ref="AD30" authorId="0" shapeId="0" xr:uid="{00000000-0006-0000-0400-000024000000}">
      <text>
        <r>
          <rPr>
            <b/>
            <sz val="9"/>
            <color indexed="81"/>
            <rFont val="Tahoma"/>
            <family val="2"/>
          </rPr>
          <t>Sonia Esperanza Casas Merchan:</t>
        </r>
        <r>
          <rPr>
            <sz val="9"/>
            <color indexed="81"/>
            <rFont val="Tahoma"/>
            <family val="2"/>
          </rPr>
          <t xml:space="preserve">
De aprobarse el ajuste por DNP cambiar{ia a 500.798</t>
        </r>
      </text>
    </comment>
    <comment ref="L32" authorId="0" shapeId="0" xr:uid="{00000000-0006-0000-0400-000025000000}">
      <text>
        <r>
          <rPr>
            <b/>
            <sz val="9"/>
            <color indexed="81"/>
            <rFont val="Tahoma"/>
            <family val="2"/>
          </rPr>
          <t>Sonia Esperanza Casas Merchan:</t>
        </r>
        <r>
          <rPr>
            <sz val="9"/>
            <color indexed="81"/>
            <rFont val="Tahoma"/>
            <family val="2"/>
          </rPr>
          <t xml:space="preserve">
se solicitó ajuste de 457.081 a 553.408, no respondido ni ajustado en Sinergia</t>
        </r>
      </text>
    </comment>
    <comment ref="M32" authorId="0" shapeId="0" xr:uid="{00000000-0006-0000-0400-000026000000}">
      <text>
        <r>
          <rPr>
            <b/>
            <sz val="9"/>
            <color indexed="81"/>
            <rFont val="Tahoma"/>
            <family val="2"/>
          </rPr>
          <t>Sonia Esperanza Casas Merchan:</t>
        </r>
        <r>
          <rPr>
            <sz val="9"/>
            <color indexed="81"/>
            <rFont val="Tahoma"/>
            <family val="2"/>
          </rPr>
          <t xml:space="preserve">
La LB inicial era 659.000 y se solicitó ajustar a 690.512, aprobado por DNP en 2015 y pendiente por aplicar en SINERGIA</t>
        </r>
      </text>
    </comment>
    <comment ref="N32" authorId="0" shapeId="0" xr:uid="{00000000-0006-0000-0400-000027000000}">
      <text>
        <r>
          <rPr>
            <b/>
            <sz val="9"/>
            <color indexed="81"/>
            <rFont val="Tahoma"/>
            <family val="2"/>
          </rPr>
          <t>Sonia Esperanza Casas Merchan:</t>
        </r>
        <r>
          <rPr>
            <sz val="9"/>
            <color indexed="81"/>
            <rFont val="Tahoma"/>
            <family val="2"/>
          </rPr>
          <t xml:space="preserve">
En SINERGIA no hay dato</t>
        </r>
      </text>
    </comment>
    <comment ref="Q32" authorId="0" shapeId="0" xr:uid="{00000000-0006-0000-0400-000028000000}">
      <text>
        <r>
          <rPr>
            <b/>
            <sz val="9"/>
            <color indexed="81"/>
            <rFont val="Tahoma"/>
            <family val="2"/>
          </rPr>
          <t>Sonia Esperanza Casas Merchan:</t>
        </r>
        <r>
          <rPr>
            <sz val="9"/>
            <color indexed="81"/>
            <rFont val="Tahoma"/>
            <family val="2"/>
          </rPr>
          <t xml:space="preserve">
En SINERGIA no se identifican datos</t>
        </r>
      </text>
    </comment>
    <comment ref="W32" authorId="0" shapeId="0" xr:uid="{00000000-0006-0000-0400-000029000000}">
      <text>
        <r>
          <rPr>
            <b/>
            <sz val="9"/>
            <color indexed="81"/>
            <rFont val="Tahoma"/>
            <family val="2"/>
          </rPr>
          <t>Sonia Esperanza Casas Merchan:</t>
        </r>
        <r>
          <rPr>
            <sz val="9"/>
            <color indexed="81"/>
            <rFont val="Tahoma"/>
            <family val="2"/>
          </rPr>
          <t xml:space="preserve">
En SINERGIA no se identifican datos</t>
        </r>
      </text>
    </comment>
    <comment ref="AD32" authorId="0" shapeId="0" xr:uid="{00000000-0006-0000-0400-00002A000000}">
      <text>
        <r>
          <rPr>
            <b/>
            <sz val="9"/>
            <color indexed="81"/>
            <rFont val="Tahoma"/>
            <family val="2"/>
          </rPr>
          <t>Sonia Esperanza Casas Merchan:</t>
        </r>
        <r>
          <rPr>
            <sz val="9"/>
            <color indexed="81"/>
            <rFont val="Tahoma"/>
            <family val="2"/>
          </rPr>
          <t xml:space="preserve">
En SINERGIA no hay dato</t>
        </r>
      </text>
    </comment>
    <comment ref="O33" authorId="0" shapeId="0" xr:uid="{00000000-0006-0000-0400-00002B000000}">
      <text>
        <r>
          <rPr>
            <b/>
            <sz val="9"/>
            <color indexed="81"/>
            <rFont val="Tahoma"/>
            <family val="2"/>
          </rPr>
          <t>Sonia Esperanza Casas Merchan:</t>
        </r>
        <r>
          <rPr>
            <sz val="9"/>
            <color indexed="81"/>
            <rFont val="Tahoma"/>
            <family val="2"/>
          </rPr>
          <t xml:space="preserve">
era 1977 se ajustó a 2,772; luego volvieron a ajustarlo a 3.131</t>
        </r>
      </text>
    </comment>
    <comment ref="S33" authorId="0" shapeId="0" xr:uid="{E6E050D2-778D-48D3-9088-D2150C4A9542}">
      <text>
        <r>
          <rPr>
            <b/>
            <sz val="9"/>
            <color indexed="81"/>
            <rFont val="Tahoma"/>
            <family val="2"/>
          </rPr>
          <t>Sonia Esperanza Casas Merchan:</t>
        </r>
        <r>
          <rPr>
            <sz val="9"/>
            <color indexed="81"/>
            <rFont val="Tahoma"/>
            <family val="2"/>
          </rPr>
          <t xml:space="preserve">
Era 2.508 y se ajustó a 2.832</t>
        </r>
      </text>
    </comment>
    <comment ref="Y33" authorId="0" shapeId="0" xr:uid="{E4CB642C-F368-4146-B0F0-7D41180B6A53}">
      <text>
        <r>
          <rPr>
            <b/>
            <sz val="9"/>
            <color indexed="81"/>
            <rFont val="Tahoma"/>
            <family val="2"/>
          </rPr>
          <t>Sonia Esperanza Casas Merchan:</t>
        </r>
        <r>
          <rPr>
            <sz val="9"/>
            <color indexed="81"/>
            <rFont val="Tahoma"/>
            <family val="2"/>
          </rPr>
          <t xml:space="preserve">
Era 2.817 y se ajustó a 2.952</t>
        </r>
      </text>
    </comment>
    <comment ref="AF33" authorId="0" shapeId="0" xr:uid="{00000000-0006-0000-0400-00002C000000}">
      <text>
        <r>
          <rPr>
            <b/>
            <sz val="9"/>
            <color indexed="81"/>
            <rFont val="Tahoma"/>
            <family val="2"/>
          </rPr>
          <t xml:space="preserve">Sonia Esperanza Casas Merchan:
</t>
        </r>
        <r>
          <rPr>
            <sz val="9"/>
            <color indexed="81"/>
            <rFont val="Tahoma"/>
            <family val="2"/>
          </rPr>
          <t>Total corte diciembre (acum): 26.661 aulas (12.249 entregadas; 14.412contratadas)</t>
        </r>
      </text>
    </comment>
    <comment ref="L34" authorId="0" shapeId="0" xr:uid="{00000000-0006-0000-0400-00002D000000}">
      <text>
        <r>
          <rPr>
            <b/>
            <sz val="9"/>
            <color indexed="81"/>
            <rFont val="Tahoma"/>
            <family val="2"/>
          </rPr>
          <t>Sonia Esperanza Casas Merchan:</t>
        </r>
        <r>
          <rPr>
            <sz val="9"/>
            <color indexed="81"/>
            <rFont val="Tahoma"/>
            <family val="2"/>
          </rPr>
          <t xml:space="preserve">
En SINERGIA aparece como 71,07% pero por datos en serie debe ajustarse a 57,79%</t>
        </r>
      </text>
    </comment>
    <comment ref="M34" authorId="0" shapeId="0" xr:uid="{DBC30F20-3807-47DB-B494-77C236F28E41}">
      <text>
        <r>
          <rPr>
            <b/>
            <sz val="9"/>
            <color indexed="81"/>
            <rFont val="Tahoma"/>
            <family val="2"/>
          </rPr>
          <t>Sonia Esperanza Casas Merchan:</t>
        </r>
        <r>
          <rPr>
            <sz val="9"/>
            <color indexed="81"/>
            <rFont val="Tahoma"/>
            <family val="2"/>
          </rPr>
          <t xml:space="preserve">
Según la ficha técnica la LB es de 57,48%; en SINERGIA aparce como 61,98%</t>
        </r>
      </text>
    </comment>
    <comment ref="J35" authorId="0" shapeId="0" xr:uid="{00000000-0006-0000-0400-00002E000000}">
      <text>
        <r>
          <rPr>
            <b/>
            <sz val="9"/>
            <color indexed="81"/>
            <rFont val="Tahoma"/>
            <family val="2"/>
          </rPr>
          <t>Era de capacidad; lo cambiaron a flujo</t>
        </r>
      </text>
    </comment>
    <comment ref="J36" authorId="0" shapeId="0" xr:uid="{00000000-0006-0000-0400-00002F000000}">
      <text>
        <r>
          <rPr>
            <b/>
            <sz val="9"/>
            <color indexed="81"/>
            <rFont val="Tahoma"/>
            <family val="2"/>
          </rPr>
          <t>Sonia Esperanza Casas Merchan:</t>
        </r>
        <r>
          <rPr>
            <sz val="9"/>
            <color indexed="81"/>
            <rFont val="Tahoma"/>
            <family val="2"/>
          </rPr>
          <t xml:space="preserve">
era de capacidad, lo cambiaron a flujo</t>
        </r>
      </text>
    </comment>
    <comment ref="J37" authorId="0" shapeId="0" xr:uid="{00000000-0006-0000-0400-000030000000}">
      <text>
        <r>
          <rPr>
            <b/>
            <sz val="9"/>
            <color indexed="81"/>
            <rFont val="Tahoma"/>
            <family val="2"/>
          </rPr>
          <t>Sonia Esperanza Casas Merchan:</t>
        </r>
        <r>
          <rPr>
            <sz val="9"/>
            <color indexed="81"/>
            <rFont val="Tahoma"/>
            <family val="2"/>
          </rPr>
          <t xml:space="preserve">
en correo del 23/04 se solicita el cambio de capacidad a flujo; fue aplicado por DNP</t>
        </r>
      </text>
    </comment>
    <comment ref="AF38" authorId="0" shapeId="0" xr:uid="{A9350551-1CEA-4AEC-955A-318ADCBE293C}">
      <text>
        <r>
          <rPr>
            <b/>
            <sz val="9"/>
            <color indexed="81"/>
            <rFont val="Tahoma"/>
            <family val="2"/>
          </rPr>
          <t>Sonia Esperanza Casas Merchan: Dato a septiembre; pendiente por ajustar en SINERGIA</t>
        </r>
      </text>
    </comment>
    <comment ref="J39" authorId="0" shapeId="0" xr:uid="{00000000-0006-0000-0400-000031000000}">
      <text>
        <r>
          <rPr>
            <b/>
            <sz val="9"/>
            <color indexed="81"/>
            <rFont val="Tahoma"/>
            <family val="2"/>
          </rPr>
          <t>Sonia Esperanza Casas Merchan:</t>
        </r>
        <r>
          <rPr>
            <sz val="9"/>
            <color indexed="81"/>
            <rFont val="Tahoma"/>
            <family val="2"/>
          </rPr>
          <t xml:space="preserve">
en correo del 23/04 se solicitó cambio de capacidad a flujo; ya se aplicó por parte de DNP</t>
        </r>
      </text>
    </comment>
    <comment ref="J40" authorId="0" shapeId="0" xr:uid="{00000000-0006-0000-0400-000032000000}">
      <text>
        <r>
          <rPr>
            <b/>
            <sz val="9"/>
            <color indexed="81"/>
            <rFont val="Tahoma"/>
            <family val="2"/>
          </rPr>
          <t>Sonia Esperanza Casas Merchan:</t>
        </r>
        <r>
          <rPr>
            <sz val="9"/>
            <color indexed="81"/>
            <rFont val="Tahoma"/>
            <family val="2"/>
          </rPr>
          <t xml:space="preserve">
en correo del 23/04 se solicitó cambio de capacidad a flujo; ya se aplicó por parte de DNP</t>
        </r>
      </text>
    </comment>
    <comment ref="G41" authorId="1" shapeId="0" xr:uid="{00000000-0006-0000-0400-000033000000}">
      <text>
        <r>
          <rPr>
            <b/>
            <sz val="9"/>
            <color indexed="81"/>
            <rFont val="Tahoma"/>
            <family val="2"/>
          </rPr>
          <t>SoniaCasas:</t>
        </r>
        <r>
          <rPr>
            <sz val="9"/>
            <color indexed="81"/>
            <rFont val="Tahoma"/>
            <family val="2"/>
          </rPr>
          <t xml:space="preserve">
En el TC Presidente figura como Número de docentes por tutor (PTA)</t>
        </r>
      </text>
    </comment>
    <comment ref="S41" authorId="0" shapeId="0" xr:uid="{00000000-0006-0000-0400-000034000000}">
      <text>
        <r>
          <rPr>
            <b/>
            <sz val="9"/>
            <color indexed="81"/>
            <rFont val="Tahoma"/>
            <family val="2"/>
          </rPr>
          <t>Sonia Esperanza Casas Merchan:</t>
        </r>
        <r>
          <rPr>
            <sz val="9"/>
            <color indexed="81"/>
            <rFont val="Tahoma"/>
            <family val="2"/>
          </rPr>
          <t xml:space="preserve">
Avance 2016 es 26,11 figura en sinergia como 25,85</t>
        </r>
      </text>
    </comment>
    <comment ref="J42" authorId="0" shapeId="0" xr:uid="{00000000-0006-0000-0400-000035000000}">
      <text>
        <r>
          <rPr>
            <b/>
            <sz val="9"/>
            <color indexed="81"/>
            <rFont val="Tahoma"/>
            <family val="2"/>
          </rPr>
          <t xml:space="preserve">Sonia Esperanza Casas Merchan:
</t>
        </r>
        <r>
          <rPr>
            <sz val="9"/>
            <color indexed="81"/>
            <rFont val="Tahoma"/>
            <family val="2"/>
          </rPr>
          <t>era de capacidad, lo cambiaron a flujo</t>
        </r>
      </text>
    </comment>
    <comment ref="G43" authorId="1" shapeId="0" xr:uid="{00000000-0006-0000-0400-000036000000}">
      <text>
        <r>
          <rPr>
            <b/>
            <sz val="9"/>
            <color indexed="81"/>
            <rFont val="Tahoma"/>
            <family val="2"/>
          </rPr>
          <t>SoniaCasas:</t>
        </r>
        <r>
          <rPr>
            <sz val="9"/>
            <color indexed="81"/>
            <rFont val="Tahoma"/>
            <family val="2"/>
          </rPr>
          <t xml:space="preserve">
Se acompaña de otro denominado Docentes o aspirantes docentes beneficiados con recursos de la nación para mejorar su nivel de ofrmación a nivel de postgrado.</t>
        </r>
      </text>
    </comment>
    <comment ref="N43" authorId="1" shapeId="0" xr:uid="{00000000-0006-0000-0400-000037000000}">
      <text>
        <r>
          <rPr>
            <b/>
            <sz val="9"/>
            <color indexed="81"/>
            <rFont val="Tahoma"/>
            <family val="2"/>
          </rPr>
          <t>SoniaCasas:</t>
        </r>
        <r>
          <rPr>
            <sz val="9"/>
            <color indexed="81"/>
            <rFont val="Tahoma"/>
            <family val="2"/>
          </rPr>
          <t xml:space="preserve">
meta en SINERGIA del 32%</t>
        </r>
      </text>
    </comment>
    <comment ref="M45" authorId="0" shapeId="0" xr:uid="{00000000-0006-0000-0400-000038000000}">
      <text>
        <r>
          <rPr>
            <b/>
            <sz val="9"/>
            <color indexed="81"/>
            <rFont val="Tahoma"/>
            <family val="2"/>
          </rPr>
          <t>Sonia Esperanza Casas Merchan:</t>
        </r>
        <r>
          <rPr>
            <sz val="9"/>
            <color indexed="81"/>
            <rFont val="Tahoma"/>
            <family val="2"/>
          </rPr>
          <t xml:space="preserve">
La LB inicial era de 4.293; se solicitó ajustar a 5.703- NO SE HA RECIBIDO RESPUESTA OFICIAL DNP- pendiente por aplicar en SINERGIA</t>
        </r>
      </text>
    </comment>
    <comment ref="L46" authorId="0" shapeId="0" xr:uid="{00000000-0006-0000-0400-000039000000}">
      <text>
        <r>
          <rPr>
            <b/>
            <sz val="9"/>
            <color indexed="81"/>
            <rFont val="Tahoma"/>
            <family val="2"/>
          </rPr>
          <t>Sonia Esperanza Casas Merchan:</t>
        </r>
        <r>
          <rPr>
            <sz val="9"/>
            <color indexed="81"/>
            <rFont val="Tahoma"/>
            <family val="2"/>
          </rPr>
          <t xml:space="preserve">
la meta inicial es de 11,96% y no 12%
lb 9,4%; NO SE AUTORIZÓ CAMBIO DE META CUATRIENIO</t>
        </r>
      </text>
    </comment>
    <comment ref="M46" authorId="0" shapeId="0" xr:uid="{00000000-0006-0000-0400-00003A000000}">
      <text>
        <r>
          <rPr>
            <b/>
            <sz val="9"/>
            <color indexed="81"/>
            <rFont val="Tahoma"/>
            <family val="2"/>
          </rPr>
          <t>Sonia Esperanza Casas Merchan:</t>
        </r>
        <r>
          <rPr>
            <sz val="9"/>
            <color indexed="81"/>
            <rFont val="Tahoma"/>
            <family val="2"/>
          </rPr>
          <t xml:space="preserve">
Es 9,4% y no 94% como aparece en SINERGIA; se ajustó y ya aparece 9,4%</t>
        </r>
      </text>
    </comment>
    <comment ref="AD46" authorId="0" shapeId="0" xr:uid="{00000000-0006-0000-0400-00003B000000}">
      <text>
        <r>
          <rPr>
            <b/>
            <sz val="9"/>
            <color indexed="81"/>
            <rFont val="Tahoma"/>
            <family val="2"/>
          </rPr>
          <t>Sonia Esperanza Casas Merchan:</t>
        </r>
        <r>
          <rPr>
            <sz val="9"/>
            <color indexed="81"/>
            <rFont val="Tahoma"/>
            <family val="2"/>
          </rPr>
          <t xml:space="preserve">
En sinergia aparece como 12% debe ajustarse a 11,96%</t>
        </r>
      </text>
    </comment>
    <comment ref="S47" authorId="0" shapeId="0" xr:uid="{00000000-0006-0000-0400-00003C000000}">
      <text>
        <r>
          <rPr>
            <b/>
            <sz val="9"/>
            <color indexed="81"/>
            <rFont val="Tahoma"/>
            <family val="2"/>
          </rPr>
          <t>Sonia Esperanza Casas Merchan:</t>
        </r>
        <r>
          <rPr>
            <sz val="9"/>
            <color indexed="81"/>
            <rFont val="Tahoma"/>
            <family val="2"/>
          </rPr>
          <t xml:space="preserve">
Estaba en 4.230 pero correspondía a un reporte preliminar; el dato ajustado es 4.188 y pedimos que así se ajustara, pero en realidad después de contrastar contra el cualitativo el área técnica informa que es 4.128. AJUSTADO OK</t>
        </r>
      </text>
    </comment>
    <comment ref="Y47" authorId="0" shapeId="0" xr:uid="{00000000-0006-0000-0400-00003D000000}">
      <text>
        <r>
          <rPr>
            <b/>
            <sz val="9"/>
            <color indexed="81"/>
            <rFont val="Tahoma"/>
            <family val="2"/>
          </rPr>
          <t>Sonia Esperanza Casas Merchan:</t>
        </r>
        <r>
          <rPr>
            <sz val="9"/>
            <color indexed="81"/>
            <rFont val="Tahoma"/>
            <family val="2"/>
          </rPr>
          <t xml:space="preserve">
estaba en 4.083 en sinergia, pero ya fue ajustado</t>
        </r>
      </text>
    </comment>
    <comment ref="AF50" authorId="0" shapeId="0" xr:uid="{71DE75AB-9D19-4CF3-905C-2BFF094A8F1E}">
      <text>
        <r>
          <rPr>
            <b/>
            <sz val="9"/>
            <color indexed="81"/>
            <rFont val="Tahoma"/>
            <family val="2"/>
          </rPr>
          <t>Sonia Esperanza Casas Merchan:</t>
        </r>
        <r>
          <rPr>
            <sz val="9"/>
            <color indexed="81"/>
            <rFont val="Tahoma"/>
            <family val="2"/>
          </rPr>
          <t xml:space="preserve">
Dato a septiembre; pendiente por ajuste en SINERGIA</t>
        </r>
      </text>
    </comment>
    <comment ref="J52" authorId="0" shapeId="0" xr:uid="{00000000-0006-0000-0400-00003E000000}">
      <text>
        <r>
          <rPr>
            <b/>
            <sz val="9"/>
            <color indexed="81"/>
            <rFont val="Tahoma"/>
            <family val="2"/>
          </rPr>
          <t>Sonia Esperanza Casas Merchan:</t>
        </r>
        <r>
          <rPr>
            <sz val="9"/>
            <color indexed="81"/>
            <rFont val="Tahoma"/>
            <family val="2"/>
          </rPr>
          <t xml:space="preserve">
Se solicitó cambio del tipo de acumulación de capacidad a Flujo</t>
        </r>
      </text>
    </comment>
    <comment ref="O54" authorId="0" shapeId="0" xr:uid="{00000000-0006-0000-0400-00003F000000}">
      <text>
        <r>
          <rPr>
            <b/>
            <sz val="9"/>
            <color indexed="81"/>
            <rFont val="Tahoma"/>
            <family val="2"/>
          </rPr>
          <t>Sonia Esperanza Casas Merchan:</t>
        </r>
        <r>
          <rPr>
            <sz val="9"/>
            <color indexed="81"/>
            <rFont val="Tahoma"/>
            <family val="2"/>
          </rPr>
          <t xml:space="preserve">
En SINERGIA está como 22%</t>
        </r>
      </text>
    </comment>
    <comment ref="S54" authorId="0" shapeId="0" xr:uid="{00000000-0006-0000-0400-000040000000}">
      <text>
        <r>
          <rPr>
            <b/>
            <sz val="9"/>
            <color indexed="81"/>
            <rFont val="Tahoma"/>
            <family val="2"/>
          </rPr>
          <t>Sonia Esperanza Casas Merchan:</t>
        </r>
        <r>
          <rPr>
            <sz val="9"/>
            <color indexed="81"/>
            <rFont val="Tahoma"/>
            <family val="2"/>
          </rPr>
          <t xml:space="preserve">
En SINERGIA está como 26%</t>
        </r>
      </text>
    </comment>
    <comment ref="Y54" authorId="0" shapeId="0" xr:uid="{00000000-0006-0000-0400-000041000000}">
      <text>
        <r>
          <rPr>
            <b/>
            <sz val="9"/>
            <color indexed="81"/>
            <rFont val="Tahoma"/>
            <family val="2"/>
          </rPr>
          <t>Sonia Esperanza Casas Merchan:</t>
        </r>
        <r>
          <rPr>
            <sz val="9"/>
            <color indexed="81"/>
            <rFont val="Tahoma"/>
            <family val="2"/>
          </rPr>
          <t xml:space="preserve">
en SINERGIA está como 53%</t>
        </r>
      </text>
    </comment>
    <comment ref="C57" authorId="0" shapeId="0" xr:uid="{00000000-0006-0000-0400-000042000000}">
      <text>
        <r>
          <rPr>
            <b/>
            <sz val="9"/>
            <color indexed="81"/>
            <rFont val="Tahoma"/>
            <family val="2"/>
          </rPr>
          <t>Sonia Esperanza Casas Merchan:</t>
        </r>
        <r>
          <rPr>
            <sz val="9"/>
            <color indexed="81"/>
            <rFont val="Tahoma"/>
            <family val="2"/>
          </rPr>
          <t xml:space="preserve">
se modificó Tipo de acumulación pero no el avance de 2016</t>
        </r>
      </text>
    </comment>
    <comment ref="S57" authorId="0" shapeId="0" xr:uid="{00000000-0006-0000-0400-000043000000}">
      <text>
        <r>
          <rPr>
            <b/>
            <sz val="9"/>
            <color indexed="81"/>
            <rFont val="Tahoma"/>
            <family val="2"/>
          </rPr>
          <t>Sonia Esperanza Casas Merchan:</t>
        </r>
        <r>
          <rPr>
            <sz val="9"/>
            <color indexed="81"/>
            <rFont val="Tahoma"/>
            <family val="2"/>
          </rPr>
          <t xml:space="preserve">
En SINERGIA está en 11,3 y es preliminar, se pidió ajustar a 9,1- AJUSTADO OK</t>
        </r>
      </text>
    </comment>
    <comment ref="L58" authorId="0" shapeId="0" xr:uid="{00000000-0006-0000-0400-000044000000}">
      <text>
        <r>
          <rPr>
            <b/>
            <sz val="9"/>
            <color indexed="81"/>
            <rFont val="Tahoma"/>
            <family val="2"/>
          </rPr>
          <t>Sonia Esperanza Casas Merchan:</t>
        </r>
        <r>
          <rPr>
            <sz val="9"/>
            <color indexed="81"/>
            <rFont val="Tahoma"/>
            <family val="2"/>
          </rPr>
          <t xml:space="preserve">
suma la LB</t>
        </r>
      </text>
    </comment>
    <comment ref="Y58" authorId="0" shapeId="0" xr:uid="{00000000-0006-0000-0400-000045000000}">
      <text>
        <r>
          <rPr>
            <b/>
            <sz val="9"/>
            <color indexed="81"/>
            <rFont val="Tahoma"/>
            <family val="2"/>
          </rPr>
          <t>Sonia Esperanza Casas Merchan:</t>
        </r>
        <r>
          <rPr>
            <sz val="9"/>
            <color indexed="81"/>
            <rFont val="Tahoma"/>
            <family val="2"/>
          </rPr>
          <t xml:space="preserve">
indican que son 20.855</t>
        </r>
      </text>
    </comment>
    <comment ref="G62" authorId="1" shapeId="0" xr:uid="{00000000-0006-0000-0400-000046000000}">
      <text>
        <r>
          <rPr>
            <b/>
            <sz val="9"/>
            <color indexed="81"/>
            <rFont val="Tahoma"/>
            <family val="2"/>
          </rPr>
          <t>SoniaCasas:</t>
        </r>
        <r>
          <rPr>
            <sz val="9"/>
            <color indexed="81"/>
            <rFont val="Tahoma"/>
            <family val="2"/>
          </rPr>
          <t xml:space="preserve">
En el TC Presidente figura como Número de departamentos con tasa de cobertura en Educación Superior por encima del 20%</t>
        </r>
      </text>
    </comment>
    <comment ref="Y63" authorId="0" shapeId="0" xr:uid="{00000000-0006-0000-0400-000048000000}">
      <text>
        <r>
          <rPr>
            <b/>
            <sz val="9"/>
            <color indexed="81"/>
            <rFont val="Tahoma"/>
            <family val="2"/>
          </rPr>
          <t>Sonia Esperanza Casas Merchan:</t>
        </r>
        <r>
          <rPr>
            <sz val="9"/>
            <color indexed="81"/>
            <rFont val="Tahoma"/>
            <family val="2"/>
          </rPr>
          <t xml:space="preserve">
</t>
        </r>
      </text>
    </comment>
    <comment ref="G64" authorId="1" shapeId="0" xr:uid="{00000000-0006-0000-0400-000049000000}">
      <text>
        <r>
          <rPr>
            <b/>
            <sz val="9"/>
            <color indexed="81"/>
            <rFont val="Tahoma"/>
            <family val="2"/>
          </rPr>
          <t>SoniaCasas:
En el TC Presidente figura como Créditos-Beca otorgados para estudios en educación superior</t>
        </r>
      </text>
    </comment>
    <comment ref="M64" authorId="0" shapeId="0" xr:uid="{00000000-0006-0000-0400-00004A000000}">
      <text>
        <r>
          <rPr>
            <b/>
            <sz val="9"/>
            <color indexed="81"/>
            <rFont val="Tahoma"/>
            <family val="2"/>
          </rPr>
          <t>Sonia Esperanza Casas Merchan:</t>
        </r>
        <r>
          <rPr>
            <sz val="9"/>
            <color indexed="81"/>
            <rFont val="Tahoma"/>
            <family val="2"/>
          </rPr>
          <t xml:space="preserve">
La LB inicial es de 23.067, pero se solicitó ajuste a 26.889 aprobado por DNP sin aplicar; sin embargo, el concepto de DNP es de inviable cambio LB</t>
        </r>
      </text>
    </comment>
    <comment ref="O64" authorId="1" shapeId="0" xr:uid="{00000000-0006-0000-0400-00004B000000}">
      <text>
        <r>
          <rPr>
            <b/>
            <sz val="9"/>
            <color indexed="81"/>
            <rFont val="Tahoma"/>
            <family val="2"/>
          </rPr>
          <t>SoniaCasas:</t>
        </r>
        <r>
          <rPr>
            <sz val="9"/>
            <color indexed="81"/>
            <rFont val="Tahoma"/>
            <family val="2"/>
          </rPr>
          <t xml:space="preserve">
en sinergia 13.498</t>
        </r>
      </text>
    </comment>
    <comment ref="Q64" authorId="0" shapeId="0" xr:uid="{00000000-0006-0000-0400-00004C000000}">
      <text>
        <r>
          <rPr>
            <b/>
            <sz val="9"/>
            <color indexed="81"/>
            <rFont val="Tahoma"/>
            <family val="2"/>
          </rPr>
          <t>Sonia Esperanza Casas Merchan:</t>
        </r>
        <r>
          <rPr>
            <sz val="9"/>
            <color indexed="81"/>
            <rFont val="Tahoma"/>
            <family val="2"/>
          </rPr>
          <t xml:space="preserve">
La meta está en 37.614 y se solicitó ajustar porque la suma de las metas no da 125.000; AJUSTADO DNP</t>
        </r>
      </text>
    </comment>
    <comment ref="S65" authorId="0" shapeId="0" xr:uid="{00000000-0006-0000-0400-00004D000000}">
      <text>
        <r>
          <rPr>
            <b/>
            <sz val="9"/>
            <color indexed="81"/>
            <rFont val="Tahoma"/>
            <family val="2"/>
          </rPr>
          <t>Sonia Esperanza Casas Merchan:</t>
        </r>
        <r>
          <rPr>
            <sz val="9"/>
            <color indexed="81"/>
            <rFont val="Tahoma"/>
            <family val="2"/>
          </rPr>
          <t xml:space="preserve">
En sinergia está como 43,70%</t>
        </r>
      </text>
    </comment>
    <comment ref="L66" authorId="0" shapeId="0" xr:uid="{00000000-0006-0000-0400-00004E000000}">
      <text>
        <r>
          <rPr>
            <b/>
            <sz val="9"/>
            <color indexed="81"/>
            <rFont val="Tahoma"/>
            <family val="2"/>
          </rPr>
          <t xml:space="preserve">Sonia Esperanza Casas Merchan:
</t>
        </r>
        <r>
          <rPr>
            <sz val="9"/>
            <color indexed="81"/>
            <rFont val="Tahoma"/>
            <family val="2"/>
          </rPr>
          <t>Estaba en 10.000; DNP mediante oficio 20183600279821 del 04/05/18 hace cambio a 11.638</t>
        </r>
      </text>
    </comment>
    <comment ref="N66" authorId="0" shapeId="0" xr:uid="{00000000-0006-0000-0400-00004F000000}">
      <text>
        <r>
          <rPr>
            <b/>
            <sz val="9"/>
            <color indexed="81"/>
            <rFont val="Tahoma"/>
            <family val="2"/>
          </rPr>
          <t>Sonia Esperanza Casas Merchan:</t>
        </r>
        <r>
          <rPr>
            <sz val="9"/>
            <color indexed="81"/>
            <rFont val="Tahoma"/>
            <family val="2"/>
          </rPr>
          <t xml:space="preserve">
Estaba en 9100; DNP en oficio 20183600279821 del 04/05/18 hace cambio a 9.500</t>
        </r>
      </text>
    </comment>
    <comment ref="Q66" authorId="0" shapeId="0" xr:uid="{00000000-0006-0000-0400-000050000000}">
      <text>
        <r>
          <rPr>
            <b/>
            <sz val="9"/>
            <color indexed="81"/>
            <rFont val="Tahoma"/>
            <family val="2"/>
          </rPr>
          <t>Sonia Esperanza Casas Merchan:</t>
        </r>
        <r>
          <rPr>
            <sz val="9"/>
            <color indexed="81"/>
            <rFont val="Tahoma"/>
            <family val="2"/>
          </rPr>
          <t xml:space="preserve">
Estaba en 9.200; DNP mediante oficio 20183600279821 del 04/05/18 hace cambio a 10.216</t>
        </r>
      </text>
    </comment>
    <comment ref="W66" authorId="0" shapeId="0" xr:uid="{00000000-0006-0000-0400-000051000000}">
      <text>
        <r>
          <rPr>
            <b/>
            <sz val="9"/>
            <color indexed="81"/>
            <rFont val="Tahoma"/>
            <family val="2"/>
          </rPr>
          <t xml:space="preserve">Sonia Esperanza Casas Merchan:
</t>
        </r>
        <r>
          <rPr>
            <sz val="9"/>
            <color indexed="81"/>
            <rFont val="Tahoma"/>
            <family val="2"/>
          </rPr>
          <t>Estaba en 9.400; DNP mediante oficio 20183600279821 del 04/05/18 hace cambio a 10.932</t>
        </r>
      </text>
    </comment>
    <comment ref="AD66" authorId="0" shapeId="0" xr:uid="{00000000-0006-0000-0400-000052000000}">
      <text>
        <r>
          <rPr>
            <b/>
            <sz val="9"/>
            <color indexed="81"/>
            <rFont val="Tahoma"/>
            <family val="2"/>
          </rPr>
          <t xml:space="preserve">Sonia Esperanza Casas Merchan:
</t>
        </r>
        <r>
          <rPr>
            <sz val="9"/>
            <color indexed="81"/>
            <rFont val="Tahoma"/>
            <family val="2"/>
          </rPr>
          <t>Estaba en 10.000; DNP mediante oficio 20183600279821 del 04/05/18 hace cambio a 11.638</t>
        </r>
      </text>
    </comment>
    <comment ref="M69" authorId="0" shapeId="0" xr:uid="{00000000-0006-0000-0400-000053000000}">
      <text>
        <r>
          <rPr>
            <b/>
            <sz val="9"/>
            <color indexed="81"/>
            <rFont val="Tahoma"/>
            <family val="2"/>
          </rPr>
          <t>Sonia Esperanza Casas Merchan:</t>
        </r>
        <r>
          <rPr>
            <sz val="9"/>
            <color indexed="81"/>
            <rFont val="Tahoma"/>
            <family val="2"/>
          </rPr>
          <t xml:space="preserve">
La LB inicial era de 13.429 y se solicitó ajustar a 14.623, aprobado por DNP en 2015 y aplicado en SINERGIA</t>
        </r>
      </text>
    </comment>
    <comment ref="L70" authorId="0" shapeId="0" xr:uid="{00000000-0006-0000-0400-000054000000}">
      <text>
        <r>
          <rPr>
            <b/>
            <sz val="9"/>
            <color indexed="81"/>
            <rFont val="Tahoma"/>
            <family val="2"/>
          </rPr>
          <t>Sonia Esperanza Casas Merchan:</t>
        </r>
        <r>
          <rPr>
            <sz val="9"/>
            <color indexed="81"/>
            <rFont val="Tahoma"/>
            <family val="2"/>
          </rPr>
          <t xml:space="preserve">
Esta meta tiene solicitud de ajuste de 4.004 a 2000, aprobada por DNP y pendiente por aplicar en SINERGIA</t>
        </r>
      </text>
    </comment>
    <comment ref="AD70" authorId="0" shapeId="0" xr:uid="{00000000-0006-0000-0400-000055000000}">
      <text>
        <r>
          <rPr>
            <b/>
            <sz val="9"/>
            <color indexed="81"/>
            <rFont val="Tahoma"/>
            <family val="2"/>
          </rPr>
          <t>Sonia Esperanza Casas Merchan:</t>
        </r>
        <r>
          <rPr>
            <sz val="9"/>
            <color indexed="81"/>
            <rFont val="Tahoma"/>
            <family val="2"/>
          </rPr>
          <t xml:space="preserve">
En sinergia está como 4.004</t>
        </r>
      </text>
    </comment>
    <comment ref="G71" authorId="1" shapeId="0" xr:uid="{00000000-0006-0000-0400-000056000000}">
      <text>
        <r>
          <rPr>
            <b/>
            <sz val="9"/>
            <color indexed="81"/>
            <rFont val="Tahoma"/>
            <family val="2"/>
          </rPr>
          <t>SoniaCasas:</t>
        </r>
        <r>
          <rPr>
            <sz val="9"/>
            <color indexed="81"/>
            <rFont val="Tahoma"/>
            <family val="2"/>
          </rPr>
          <t xml:space="preserve">
En el TC Presidente figura como Becas otorgadas mediante programa Ser Pilo Paga</t>
        </r>
      </text>
    </comment>
    <comment ref="P72" authorId="0" shapeId="0" xr:uid="{00000000-0006-0000-0400-000057000000}">
      <text>
        <r>
          <rPr>
            <b/>
            <sz val="9"/>
            <color indexed="81"/>
            <rFont val="Tahoma"/>
            <family val="2"/>
          </rPr>
          <t>Sonia Esperanza Casas Merchan:</t>
        </r>
        <r>
          <rPr>
            <sz val="9"/>
            <color indexed="81"/>
            <rFont val="Tahoma"/>
            <family val="2"/>
          </rPr>
          <t xml:space="preserve">
todo lo que sea inferior a 5% cumple la meta</t>
        </r>
      </text>
    </comment>
    <comment ref="S72" authorId="0" shapeId="0" xr:uid="{00000000-0006-0000-0400-000058000000}">
      <text>
        <r>
          <rPr>
            <b/>
            <sz val="9"/>
            <color indexed="81"/>
            <rFont val="Tahoma"/>
            <family val="2"/>
          </rPr>
          <t>Sonia Esperanza Casas Merchan:</t>
        </r>
        <r>
          <rPr>
            <sz val="9"/>
            <color indexed="81"/>
            <rFont val="Tahoma"/>
            <family val="2"/>
          </rPr>
          <t xml:space="preserve">
esta en sinergia como 0,17</t>
        </r>
      </text>
    </comment>
    <comment ref="U72" authorId="0" shapeId="0" xr:uid="{00000000-0006-0000-0400-000059000000}">
      <text>
        <r>
          <rPr>
            <b/>
            <sz val="9"/>
            <color indexed="81"/>
            <rFont val="Tahoma"/>
            <family val="2"/>
          </rPr>
          <t>Sonia Esperanza Casas Merchan:</t>
        </r>
        <r>
          <rPr>
            <sz val="9"/>
            <color indexed="81"/>
            <rFont val="Tahoma"/>
            <family val="2"/>
          </rPr>
          <t xml:space="preserve">
todo lo que sea inferior a 5% cumple la meta</t>
        </r>
      </text>
    </comment>
    <comment ref="AA72" authorId="0" shapeId="0" xr:uid="{00000000-0006-0000-0400-00005A000000}">
      <text>
        <r>
          <rPr>
            <b/>
            <sz val="9"/>
            <color indexed="81"/>
            <rFont val="Tahoma"/>
            <family val="2"/>
          </rPr>
          <t>Sonia Esperanza Casas Merchan:</t>
        </r>
        <r>
          <rPr>
            <sz val="9"/>
            <color indexed="81"/>
            <rFont val="Tahoma"/>
            <family val="2"/>
          </rPr>
          <t xml:space="preserve">
todo lo que sea inferior a 5% cumple la meta</t>
        </r>
      </text>
    </comment>
    <comment ref="AH72" authorId="0" shapeId="0" xr:uid="{00000000-0006-0000-0400-00005B000000}">
      <text>
        <r>
          <rPr>
            <b/>
            <sz val="9"/>
            <color indexed="81"/>
            <rFont val="Tahoma"/>
            <family val="2"/>
          </rPr>
          <t>Sonia Esperanza Casas Merchan:</t>
        </r>
        <r>
          <rPr>
            <sz val="9"/>
            <color indexed="81"/>
            <rFont val="Tahoma"/>
            <family val="2"/>
          </rPr>
          <t xml:space="preserve">
todo lo que sea inferior a 5% cumple la meta</t>
        </r>
      </text>
    </comment>
    <comment ref="L76" authorId="0" shapeId="0" xr:uid="{00000000-0006-0000-0400-00005C000000}">
      <text>
        <r>
          <rPr>
            <b/>
            <sz val="9"/>
            <color indexed="81"/>
            <rFont val="Tahoma"/>
            <family val="2"/>
          </rPr>
          <t>Sonia Esperanza Casas Merchan:</t>
        </r>
        <r>
          <rPr>
            <sz val="9"/>
            <color indexed="81"/>
            <rFont val="Tahoma"/>
            <family val="2"/>
          </rPr>
          <t xml:space="preserve">
En SINERGIA no había datos, pero ya lo aplicaron</t>
        </r>
      </text>
    </comment>
    <comment ref="N76" authorId="0" shapeId="0" xr:uid="{00000000-0006-0000-0400-00005D000000}">
      <text>
        <r>
          <rPr>
            <b/>
            <sz val="9"/>
            <color indexed="81"/>
            <rFont val="Tahoma"/>
            <family val="2"/>
          </rPr>
          <t>Sonia Esperanza Casas Merchan:</t>
        </r>
        <r>
          <rPr>
            <sz val="9"/>
            <color indexed="81"/>
            <rFont val="Tahoma"/>
            <family val="2"/>
          </rPr>
          <t xml:space="preserve">
En SINERGIA no había datos, pero ya lo aplicaron</t>
        </r>
      </text>
    </comment>
    <comment ref="Q76" authorId="0" shapeId="0" xr:uid="{00000000-0006-0000-0400-00005E000000}">
      <text>
        <r>
          <rPr>
            <b/>
            <sz val="9"/>
            <color indexed="81"/>
            <rFont val="Tahoma"/>
            <family val="2"/>
          </rPr>
          <t>Sonia Esperanza Casas Merchan:</t>
        </r>
        <r>
          <rPr>
            <sz val="9"/>
            <color indexed="81"/>
            <rFont val="Tahoma"/>
            <family val="2"/>
          </rPr>
          <t xml:space="preserve">
En SINERGIA no había datos, pero ya lo aplicaron</t>
        </r>
      </text>
    </comment>
    <comment ref="W76" authorId="0" shapeId="0" xr:uid="{00000000-0006-0000-0400-00005F000000}">
      <text>
        <r>
          <rPr>
            <b/>
            <sz val="9"/>
            <color indexed="81"/>
            <rFont val="Tahoma"/>
            <family val="2"/>
          </rPr>
          <t>Sonia Esperanza Casas Merchan:</t>
        </r>
        <r>
          <rPr>
            <sz val="9"/>
            <color indexed="81"/>
            <rFont val="Tahoma"/>
            <family val="2"/>
          </rPr>
          <t xml:space="preserve">
En SINERGIA no había datos, pero ya lo aplicaron</t>
        </r>
      </text>
    </comment>
    <comment ref="Y76" authorId="0" shapeId="0" xr:uid="{00000000-0006-0000-0400-000060000000}">
      <text>
        <r>
          <rPr>
            <b/>
            <sz val="9"/>
            <color indexed="81"/>
            <rFont val="Tahoma"/>
            <family val="2"/>
          </rPr>
          <t>Sonia Esperanza Casas Merchan:</t>
        </r>
        <r>
          <rPr>
            <sz val="9"/>
            <color indexed="81"/>
            <rFont val="Tahoma"/>
            <family val="2"/>
          </rPr>
          <t xml:space="preserve">
se ajustó de 1.210 a 3.135 </t>
        </r>
      </text>
    </comment>
    <comment ref="AD76" authorId="0" shapeId="0" xr:uid="{00000000-0006-0000-0400-000061000000}">
      <text>
        <r>
          <rPr>
            <b/>
            <sz val="9"/>
            <color indexed="81"/>
            <rFont val="Tahoma"/>
            <family val="2"/>
          </rPr>
          <t>Sonia Esperanza Casas Merchan:</t>
        </r>
        <r>
          <rPr>
            <sz val="9"/>
            <color indexed="81"/>
            <rFont val="Tahoma"/>
            <family val="2"/>
          </rPr>
          <t xml:space="preserve">
En SINERGIA no había datos, pero ya lo aplicaron</t>
        </r>
      </text>
    </comment>
    <comment ref="J77" authorId="0" shapeId="0" xr:uid="{00000000-0006-0000-0400-000062000000}">
      <text>
        <r>
          <rPr>
            <b/>
            <sz val="9"/>
            <color indexed="81"/>
            <rFont val="Tahoma"/>
            <family val="2"/>
          </rPr>
          <t>Sonia Esperanza Casas Merchan:</t>
        </r>
        <r>
          <rPr>
            <sz val="9"/>
            <color indexed="81"/>
            <rFont val="Tahoma"/>
            <family val="2"/>
          </rPr>
          <t xml:space="preserve">
Inicialmente era de capacidad y en oficio 2 de 2018 se pidió cambio del tipo de ac a Flujo; YA APROBADO POR DNP</t>
        </r>
      </text>
    </comment>
    <comment ref="N77" authorId="0" shapeId="0" xr:uid="{00000000-0006-0000-0400-000063000000}">
      <text>
        <r>
          <rPr>
            <b/>
            <sz val="9"/>
            <color indexed="81"/>
            <rFont val="Tahoma"/>
            <family val="2"/>
          </rPr>
          <t>Sonia Esperanza Casas Merchan:</t>
        </r>
        <r>
          <rPr>
            <sz val="9"/>
            <color indexed="81"/>
            <rFont val="Tahoma"/>
            <family val="2"/>
          </rPr>
          <t xml:space="preserve">
La LB en SINERGIA figura como 94 y es 12 la inicial; no obstante, nunk autorizaron cambio de meta por tanto, quedó como 94; lo subsanaron con el cambio del tipo de acumulación</t>
        </r>
      </text>
    </comment>
    <comment ref="M78" authorId="0" shapeId="0" xr:uid="{00000000-0006-0000-0400-000064000000}">
      <text>
        <r>
          <rPr>
            <b/>
            <sz val="9"/>
            <color indexed="81"/>
            <rFont val="Tahoma"/>
            <family val="2"/>
          </rPr>
          <t>Sonia Esperanza Casas Merchan:</t>
        </r>
        <r>
          <rPr>
            <sz val="9"/>
            <color indexed="81"/>
            <rFont val="Tahoma"/>
            <family val="2"/>
          </rPr>
          <t xml:space="preserve">
SIN DATO EN SINERGIA</t>
        </r>
      </text>
    </comment>
    <comment ref="N78" authorId="0" shapeId="0" xr:uid="{00000000-0006-0000-0400-000065000000}">
      <text>
        <r>
          <rPr>
            <b/>
            <sz val="9"/>
            <color indexed="81"/>
            <rFont val="Tahoma"/>
            <family val="2"/>
          </rPr>
          <t>Sonia Esperanza Casas Merchan:</t>
        </r>
        <r>
          <rPr>
            <sz val="9"/>
            <color indexed="81"/>
            <rFont val="Tahoma"/>
            <family val="2"/>
          </rPr>
          <t xml:space="preserve">
En SINERGIA no existe dato</t>
        </r>
      </text>
    </comment>
    <comment ref="T78" authorId="0" shapeId="0" xr:uid="{00000000-0006-0000-0400-000066000000}">
      <text>
        <r>
          <rPr>
            <b/>
            <sz val="9"/>
            <color indexed="81"/>
            <rFont val="Tahoma"/>
            <family val="2"/>
          </rPr>
          <t>Sonia Esperanza Casas Merchan:</t>
        </r>
        <r>
          <rPr>
            <sz val="9"/>
            <color indexed="81"/>
            <rFont val="Tahoma"/>
            <family val="2"/>
          </rPr>
          <t xml:space="preserve">
EN SINERGIA APARECE EN 0</t>
        </r>
      </text>
    </comment>
    <comment ref="N80" authorId="0" shapeId="0" xr:uid="{00000000-0006-0000-0400-000067000000}">
      <text>
        <r>
          <rPr>
            <b/>
            <sz val="9"/>
            <color indexed="81"/>
            <rFont val="Tahoma"/>
            <family val="2"/>
          </rPr>
          <t>Sonia Esperanza Casas Merchan:</t>
        </r>
        <r>
          <rPr>
            <sz val="9"/>
            <color indexed="81"/>
            <rFont val="Tahoma"/>
            <family val="2"/>
          </rPr>
          <t xml:space="preserve">
En SINERGIA no hay dato</t>
        </r>
      </text>
    </comment>
    <comment ref="AD80" authorId="0" shapeId="0" xr:uid="{00000000-0006-0000-0400-000068000000}">
      <text>
        <r>
          <rPr>
            <b/>
            <sz val="9"/>
            <color indexed="81"/>
            <rFont val="Tahoma"/>
            <family val="2"/>
          </rPr>
          <t>Sonia Esperanza Casas Merchan:</t>
        </r>
        <r>
          <rPr>
            <sz val="9"/>
            <color indexed="81"/>
            <rFont val="Tahoma"/>
            <family val="2"/>
          </rPr>
          <t xml:space="preserve">
En SINERGIA no hay dATO</t>
        </r>
      </text>
    </comment>
    <comment ref="G81" authorId="1" shapeId="0" xr:uid="{00000000-0006-0000-0400-000069000000}">
      <text>
        <r>
          <rPr>
            <b/>
            <sz val="9"/>
            <color indexed="81"/>
            <rFont val="Tahoma"/>
            <family val="2"/>
          </rPr>
          <t>SoniaCasas:</t>
        </r>
        <r>
          <rPr>
            <sz val="9"/>
            <color indexed="81"/>
            <rFont val="Tahoma"/>
            <family val="2"/>
          </rPr>
          <t xml:space="preserve">
no es de PND es de CONPES</t>
        </r>
      </text>
    </comment>
    <comment ref="G82" authorId="0" shapeId="0" xr:uid="{00000000-0006-0000-0400-00006A000000}">
      <text>
        <r>
          <rPr>
            <b/>
            <sz val="9"/>
            <color indexed="81"/>
            <rFont val="Tahoma"/>
            <family val="2"/>
          </rPr>
          <t>Sonia Esperanza Casas Merchan:</t>
        </r>
        <r>
          <rPr>
            <sz val="9"/>
            <color indexed="81"/>
            <rFont val="Tahoma"/>
            <family val="2"/>
          </rPr>
          <t xml:space="preserve">
NO VISIBLE EN SINERGIA</t>
        </r>
      </text>
    </comment>
    <comment ref="G83" authorId="0" shapeId="0" xr:uid="{00000000-0006-0000-0400-00006B000000}">
      <text>
        <r>
          <rPr>
            <b/>
            <sz val="9"/>
            <color indexed="81"/>
            <rFont val="Tahoma"/>
            <family val="2"/>
          </rPr>
          <t xml:space="preserve">NO VISIBLE EN SINERGIA </t>
        </r>
        <r>
          <rPr>
            <sz val="9"/>
            <color indexed="81"/>
            <rFont val="Tahoma"/>
            <family val="2"/>
          </rPr>
          <t>Se cambió de nombre; antes era
Porcentaje de niños y niñas atendidos en educación inicial en el marco de la atención integral que cuentan con las 8 atenciones priorizadas</t>
        </r>
      </text>
    </comment>
    <comment ref="G84" authorId="0" shapeId="0" xr:uid="{00000000-0006-0000-0400-00006C000000}">
      <text>
        <r>
          <rPr>
            <b/>
            <sz val="9"/>
            <color indexed="81"/>
            <rFont val="Tahoma"/>
            <family val="2"/>
          </rPr>
          <t>Sonia Esperanza Casas Merchan:</t>
        </r>
        <r>
          <rPr>
            <sz val="9"/>
            <color indexed="81"/>
            <rFont val="Tahoma"/>
            <family val="2"/>
          </rPr>
          <t xml:space="preserve">
NO VISIBLE EN SINERGIA</t>
        </r>
      </text>
    </comment>
    <comment ref="G85" authorId="0" shapeId="0" xr:uid="{00000000-0006-0000-0400-00006D000000}">
      <text>
        <r>
          <rPr>
            <b/>
            <sz val="9"/>
            <color indexed="81"/>
            <rFont val="Tahoma"/>
            <family val="2"/>
          </rPr>
          <t>Sonia Esperanza Casas Merchan:</t>
        </r>
        <r>
          <rPr>
            <sz val="9"/>
            <color indexed="81"/>
            <rFont val="Tahoma"/>
            <family val="2"/>
          </rPr>
          <t xml:space="preserve">
NO VISIBLE EN SINERGIA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SoniaCasas</author>
  </authors>
  <commentList>
    <comment ref="S8" authorId="0" shapeId="0" xr:uid="{054851E7-2991-4D96-A38C-8D9CAFC7D641}">
      <text>
        <r>
          <rPr>
            <b/>
            <sz val="9"/>
            <color indexed="81"/>
            <rFont val="Tahoma"/>
            <family val="2"/>
          </rPr>
          <t>Sonia Esperanza Casas Merchan:</t>
        </r>
        <r>
          <rPr>
            <sz val="9"/>
            <color indexed="81"/>
            <rFont val="Tahoma"/>
            <family val="2"/>
          </rPr>
          <t xml:space="preserve">
INCONSISTENCIA EN SINERGIA, APARECE CON 31,2% ES DECIR, EVALUADO COMO DE CAPACIDAD</t>
        </r>
      </text>
    </comment>
    <comment ref="F10" authorId="0" shapeId="0" xr:uid="{85346B31-E485-4E09-8CFC-959829141090}">
      <text>
        <r>
          <rPr>
            <b/>
            <sz val="9"/>
            <color indexed="81"/>
            <rFont val="Tahoma"/>
            <family val="2"/>
          </rPr>
          <t>Sonia Esperanza Casas Merchan:</t>
        </r>
        <r>
          <rPr>
            <sz val="9"/>
            <color indexed="81"/>
            <rFont val="Tahoma"/>
            <family val="2"/>
          </rPr>
          <t xml:space="preserve">
Se había solicitado ajuste a 5,59% en el oficio No. 1, pero no se viabilizó sino solo para 2016. queda inconsistente la serie.</t>
        </r>
      </text>
    </comment>
    <comment ref="D11" authorId="0" shapeId="0" xr:uid="{4DBE419B-D14B-448E-90B4-29073156E04D}">
      <text>
        <r>
          <rPr>
            <b/>
            <sz val="9"/>
            <color indexed="81"/>
            <rFont val="Tahoma"/>
            <family val="2"/>
          </rPr>
          <t>Sonia Esperanza Casas Merchan:</t>
        </r>
        <r>
          <rPr>
            <sz val="9"/>
            <color indexed="81"/>
            <rFont val="Tahoma"/>
            <family val="2"/>
          </rPr>
          <t xml:space="preserve">
suma la LB</t>
        </r>
      </text>
    </comment>
    <comment ref="D12" authorId="0" shapeId="0" xr:uid="{17A20EFD-79E7-4279-963D-6D9CC1DA3743}">
      <text>
        <r>
          <rPr>
            <b/>
            <sz val="9"/>
            <color indexed="81"/>
            <rFont val="Tahoma"/>
            <family val="2"/>
          </rPr>
          <t>Sonia Esperanza Casas Merchan:</t>
        </r>
        <r>
          <rPr>
            <sz val="9"/>
            <color indexed="81"/>
            <rFont val="Tahoma"/>
            <family val="2"/>
          </rPr>
          <t xml:space="preserve">
La MC inicial es del 86,31%, se solicitó reducción, fue aprobada por DNP en 2015 y aplicada en SINERGIA</t>
        </r>
      </text>
    </comment>
    <comment ref="E12" authorId="0" shapeId="0" xr:uid="{927FC6B3-B80D-4511-81A3-8E6F8E07038C}">
      <text>
        <r>
          <rPr>
            <b/>
            <sz val="9"/>
            <color indexed="81"/>
            <rFont val="Tahoma"/>
            <family val="2"/>
          </rPr>
          <t>Sonia Esperanza Casas Merchan:</t>
        </r>
        <r>
          <rPr>
            <sz val="9"/>
            <color indexed="81"/>
            <rFont val="Tahoma"/>
            <family val="2"/>
          </rPr>
          <t xml:space="preserve">
La LB inicial era de 71,7% y se solicitó ajustar a 71,47%, aprobado por DNP en 2015 y aplicado en SINERGIA</t>
        </r>
      </text>
    </comment>
    <comment ref="F12" authorId="0" shapeId="0" xr:uid="{CAA844B8-6C28-445C-8154-99475C66E53F}">
      <text>
        <r>
          <rPr>
            <b/>
            <sz val="9"/>
            <color indexed="81"/>
            <rFont val="Tahoma"/>
            <family val="2"/>
          </rPr>
          <t>Sonia Esperanza Casas Merchan:</t>
        </r>
        <r>
          <rPr>
            <sz val="9"/>
            <color indexed="81"/>
            <rFont val="Tahoma"/>
            <family val="2"/>
          </rPr>
          <t xml:space="preserve">
En SINERGIA no había dato; ya lo incluyeron</t>
        </r>
      </text>
    </comment>
    <comment ref="I12" authorId="0" shapeId="0" xr:uid="{75FCD61B-E024-42FE-9A0D-53C426B09B19}">
      <text>
        <r>
          <rPr>
            <b/>
            <sz val="9"/>
            <color indexed="81"/>
            <rFont val="Tahoma"/>
            <family val="2"/>
          </rPr>
          <t>Sonia Esperanza Casas Merchan:</t>
        </r>
        <r>
          <rPr>
            <sz val="9"/>
            <color indexed="81"/>
            <rFont val="Tahoma"/>
            <family val="2"/>
          </rPr>
          <t xml:space="preserve">
En SINERGIA no había dato; ya lo incluyeron</t>
        </r>
      </text>
    </comment>
    <comment ref="O12" authorId="0" shapeId="0" xr:uid="{F1DCA931-95AC-44F6-BF06-726B60DFCCB1}">
      <text>
        <r>
          <rPr>
            <b/>
            <sz val="9"/>
            <color indexed="81"/>
            <rFont val="Tahoma"/>
            <family val="2"/>
          </rPr>
          <t>Sonia Esperanza Casas Merchan:</t>
        </r>
        <r>
          <rPr>
            <sz val="9"/>
            <color indexed="81"/>
            <rFont val="Tahoma"/>
            <family val="2"/>
          </rPr>
          <t xml:space="preserve">
En SINERGIA no había dato; ya lo incluyeron</t>
        </r>
      </text>
    </comment>
    <comment ref="V12" authorId="0" shapeId="0" xr:uid="{717F1F18-A2FA-402D-9794-2409EDC3F386}">
      <text>
        <r>
          <rPr>
            <b/>
            <sz val="9"/>
            <color indexed="81"/>
            <rFont val="Tahoma"/>
            <family val="2"/>
          </rPr>
          <t>Sonia Esperanza Casas Merchan:</t>
        </r>
        <r>
          <rPr>
            <sz val="9"/>
            <color indexed="81"/>
            <rFont val="Tahoma"/>
            <family val="2"/>
          </rPr>
          <t xml:space="preserve">
En SINERGIA no había dato; ya lo incluyeron, pero no es lo ajustado</t>
        </r>
      </text>
    </comment>
    <comment ref="D13" authorId="0" shapeId="0" xr:uid="{B76E7C23-C0EB-44E0-A61A-649C0EB1E988}">
      <text>
        <r>
          <rPr>
            <b/>
            <sz val="9"/>
            <color indexed="81"/>
            <rFont val="Tahoma"/>
            <family val="2"/>
          </rPr>
          <t>Sonia Esperanza Casas Merchan:</t>
        </r>
        <r>
          <rPr>
            <sz val="9"/>
            <color indexed="81"/>
            <rFont val="Tahoma"/>
            <family val="2"/>
          </rPr>
          <t xml:space="preserve">
La MC inicial es de 84,33%; se solicitó reducción a 71,13% con justificación técnica, fue autorizada inicialmente por DNP; pero en oficio 20183600279821 del 4/05/18 informan que es inviable; queda meta inconsistente</t>
        </r>
      </text>
    </comment>
    <comment ref="E13" authorId="0" shapeId="0" xr:uid="{FFBA9982-9980-4491-8877-62B03C84A93D}">
      <text>
        <r>
          <rPr>
            <b/>
            <sz val="9"/>
            <color indexed="81"/>
            <rFont val="Tahoma"/>
            <family val="2"/>
          </rPr>
          <t>Sonia Esperanza Casas Merchan:</t>
        </r>
        <r>
          <rPr>
            <sz val="9"/>
            <color indexed="81"/>
            <rFont val="Tahoma"/>
            <family val="2"/>
          </rPr>
          <t xml:space="preserve">
La LB inicial era de 73% y se solicitó ajuste a 60,74% aprobado inicialmente por DNP en 2015; mediante oficio 20183600279821 del 04/05 responden que es inviable; por lo que queda inconsistente</t>
        </r>
      </text>
    </comment>
    <comment ref="F13" authorId="0" shapeId="0" xr:uid="{F6E7A766-4F1C-463D-8924-2CD208AD74FB}">
      <text>
        <r>
          <rPr>
            <b/>
            <sz val="9"/>
            <color indexed="81"/>
            <rFont val="Tahoma"/>
            <family val="2"/>
          </rPr>
          <t>Sonia Esperanza Casas Merchan:</t>
        </r>
        <r>
          <rPr>
            <sz val="9"/>
            <color indexed="81"/>
            <rFont val="Tahoma"/>
            <family val="2"/>
          </rPr>
          <t xml:space="preserve">
En SINERGIA aparece 77,54%; se solicitó la reducción en oficio No. 1 a  70,70%. Mediante oficio 20183600279821 del 04/05 DNP responde que es inviable y queda como estaba inicialmente.</t>
        </r>
      </text>
    </comment>
    <comment ref="I13" authorId="0" shapeId="0" xr:uid="{E68190BF-669F-4720-9E84-D5AB4B618B8B}">
      <text>
        <r>
          <rPr>
            <b/>
            <sz val="9"/>
            <color indexed="81"/>
            <rFont val="Tahoma"/>
            <family val="2"/>
          </rPr>
          <t>Sonia Esperanza Casas Merchan:</t>
        </r>
        <r>
          <rPr>
            <sz val="9"/>
            <color indexed="81"/>
            <rFont val="Tahoma"/>
            <family val="2"/>
          </rPr>
          <t xml:space="preserve">
La LB inicial era de 79,80%, Se solicitó reajuste a 70,50% inicialmente aprobado por DNP; mediante oficio 20183600279821 del 04/05 responden que es inviable y no se ajustan los cambios</t>
        </r>
      </text>
    </comment>
    <comment ref="O13" authorId="0" shapeId="0" xr:uid="{DBA1AB2D-7C03-4DE4-91BD-F235EEC16AF4}">
      <text>
        <r>
          <rPr>
            <b/>
            <sz val="9"/>
            <color indexed="81"/>
            <rFont val="Tahoma"/>
            <family val="2"/>
          </rPr>
          <t>Sonia Esperanza Casas Merchan:</t>
        </r>
        <r>
          <rPr>
            <sz val="9"/>
            <color indexed="81"/>
            <rFont val="Tahoma"/>
            <family val="2"/>
          </rPr>
          <t xml:space="preserve">
En SINERGIA aparece como 82,07%, se solicitó la reducción de la MC y anuales  a 70,93%; no obstante, mediante oficio 20183600279821 del 04/05 se responde que es INVIABLE el cambio; queda con datos iniciales</t>
        </r>
      </text>
    </comment>
    <comment ref="V13" authorId="0" shapeId="0" xr:uid="{4AFEF54F-2D18-474D-80A6-B87BC1217C27}">
      <text>
        <r>
          <rPr>
            <b/>
            <sz val="9"/>
            <color indexed="81"/>
            <rFont val="Tahoma"/>
            <family val="2"/>
          </rPr>
          <t>Sonia Esperanza Casas Merchan:</t>
        </r>
        <r>
          <rPr>
            <sz val="9"/>
            <color indexed="81"/>
            <rFont val="Tahoma"/>
            <family val="2"/>
          </rPr>
          <t xml:space="preserve">
la meta inicial era 84,33% se solicitó ajuste a 71,13%, pero el DNP mediante oficio 20183600279821 del 04/05 responde que es INVIABLE el ajuste; por tanto queda con los datos iniciales</t>
        </r>
      </text>
    </comment>
    <comment ref="D14" authorId="0" shapeId="0" xr:uid="{A64985B2-6E63-457C-9A69-EBF34D38DED4}">
      <text>
        <r>
          <rPr>
            <b/>
            <sz val="9"/>
            <color indexed="81"/>
            <rFont val="Tahoma"/>
            <family val="2"/>
          </rPr>
          <t>Sonia Esperanza Casas Merchan:</t>
        </r>
        <r>
          <rPr>
            <sz val="9"/>
            <color indexed="81"/>
            <rFont val="Tahoma"/>
            <family val="2"/>
          </rPr>
          <t xml:space="preserve">
Esta meta tiene solicitud de ajuste  de 135.694 a 113.658, aprobada por DNP  en 2015 y pendiente por aplicar.</t>
        </r>
      </text>
    </comment>
    <comment ref="F14" authorId="0" shapeId="0" xr:uid="{96E2D1A5-DFFB-49A7-8F86-5370EDDCBC89}">
      <text>
        <r>
          <rPr>
            <b/>
            <sz val="9"/>
            <color indexed="81"/>
            <rFont val="Tahoma"/>
            <family val="2"/>
          </rPr>
          <t>Sonia Esperanza Casas Merchan:</t>
        </r>
        <r>
          <rPr>
            <sz val="9"/>
            <color indexed="81"/>
            <rFont val="Tahoma"/>
            <family val="2"/>
          </rPr>
          <t xml:space="preserve">
En SINERGIA aparece como 120.180, pero al aprobarse la reducción, debe ajustarse a 110.658</t>
        </r>
      </text>
    </comment>
    <comment ref="I14" authorId="0" shapeId="0" xr:uid="{D052BF3B-A8CB-48AD-8D16-9447FA54757A}">
      <text>
        <r>
          <rPr>
            <b/>
            <sz val="9"/>
            <color indexed="81"/>
            <rFont val="Tahoma"/>
            <family val="2"/>
          </rPr>
          <t>Sonia Esperanza Casas Merchan:</t>
        </r>
        <r>
          <rPr>
            <sz val="9"/>
            <color indexed="81"/>
            <rFont val="Tahoma"/>
            <family val="2"/>
          </rPr>
          <t xml:space="preserve">
En SINERGIA aparece como 125.441, pero al aprobarse la reducción se ajusta la meta a 111.658</t>
        </r>
      </text>
    </comment>
    <comment ref="O14" authorId="0" shapeId="0" xr:uid="{E966A1C1-0003-4EB8-9658-2E42FA4909E6}">
      <text>
        <r>
          <rPr>
            <b/>
            <sz val="9"/>
            <color indexed="81"/>
            <rFont val="Tahoma"/>
            <family val="2"/>
          </rPr>
          <t>Sonia Esperanza Casas Merchan:</t>
        </r>
        <r>
          <rPr>
            <sz val="9"/>
            <color indexed="81"/>
            <rFont val="Tahoma"/>
            <family val="2"/>
          </rPr>
          <t xml:space="preserve">
En SINERGIA aparece como 130.703, pero al aprobarse la reducción de MC se ajusta a 112.658</t>
        </r>
      </text>
    </comment>
    <comment ref="V14" authorId="0" shapeId="0" xr:uid="{CDC2675E-2388-4EE1-BA08-0A1668AE1AF4}">
      <text>
        <r>
          <rPr>
            <b/>
            <sz val="9"/>
            <color indexed="81"/>
            <rFont val="Tahoma"/>
            <family val="2"/>
          </rPr>
          <t>Sonia Esperanza Casas Merchan:</t>
        </r>
        <r>
          <rPr>
            <sz val="9"/>
            <color indexed="81"/>
            <rFont val="Tahoma"/>
            <family val="2"/>
          </rPr>
          <t xml:space="preserve">
La M2018 está en 135.964 en SINERGIA; con el ajuste pasaría a 113.658</t>
        </r>
      </text>
    </comment>
    <comment ref="E16" authorId="0" shapeId="0" xr:uid="{6DE934A9-8E45-4819-83EE-878CC22F5460}">
      <text>
        <r>
          <rPr>
            <b/>
            <sz val="9"/>
            <color indexed="81"/>
            <rFont val="Tahoma"/>
            <family val="2"/>
          </rPr>
          <t>Sonia Esperanza Casas Merchan:</t>
        </r>
        <r>
          <rPr>
            <sz val="9"/>
            <color indexed="81"/>
            <rFont val="Tahoma"/>
            <family val="2"/>
          </rPr>
          <t xml:space="preserve">
se cambio lb</t>
        </r>
      </text>
    </comment>
    <comment ref="E17" authorId="0" shapeId="0" xr:uid="{AD44B09E-2164-44FF-B50C-32963943C717}">
      <text>
        <r>
          <rPr>
            <b/>
            <sz val="9"/>
            <color indexed="81"/>
            <rFont val="Tahoma"/>
            <family val="2"/>
          </rPr>
          <t>Sonia Esperanza Casas Merchan:</t>
        </r>
        <r>
          <rPr>
            <sz val="9"/>
            <color indexed="81"/>
            <rFont val="Tahoma"/>
            <family val="2"/>
          </rPr>
          <t xml:space="preserve">
La LB inicial era de 404.056 y se solicitó ajuste a 362.740 aprobado por DNP</t>
        </r>
      </text>
    </comment>
    <comment ref="E23" authorId="0" shapeId="0" xr:uid="{9DFF6930-E285-4DEB-9F5D-2195A85DA19C}">
      <text>
        <r>
          <rPr>
            <b/>
            <sz val="9"/>
            <color indexed="81"/>
            <rFont val="Tahoma"/>
            <family val="2"/>
          </rPr>
          <t>Sonia Esperanza Casas Merchan:</t>
        </r>
        <r>
          <rPr>
            <sz val="9"/>
            <color indexed="81"/>
            <rFont val="Tahoma"/>
            <family val="2"/>
          </rPr>
          <t xml:space="preserve">
La LB inicial era de 72,86% y se solicitó ajuste a 72,76% aprobado por DNP en 2015</t>
        </r>
      </text>
    </comment>
    <comment ref="D24" authorId="0" shapeId="0" xr:uid="{D1518888-9CA1-4E17-A989-FDFAA97388B7}">
      <text>
        <r>
          <rPr>
            <b/>
            <sz val="9"/>
            <color indexed="81"/>
            <rFont val="Tahoma"/>
            <family val="2"/>
          </rPr>
          <t>Sonia Esperanza Casas Merchan:</t>
        </r>
        <r>
          <rPr>
            <sz val="9"/>
            <color indexed="81"/>
            <rFont val="Tahoma"/>
            <family val="2"/>
          </rPr>
          <t xml:space="preserve">
La MC inicial era de 582.001; se solicitó ajuste a 500.798 NO SE HA DADO RESPUESTA DNP</t>
        </r>
      </text>
    </comment>
    <comment ref="E24" authorId="0" shapeId="0" xr:uid="{89D3F8F3-859C-4C68-9448-A12EF82C12E9}">
      <text>
        <r>
          <rPr>
            <b/>
            <sz val="9"/>
            <color indexed="81"/>
            <rFont val="Tahoma"/>
            <family val="2"/>
          </rPr>
          <t>Sonia Esperanza Casas Merchan:</t>
        </r>
        <r>
          <rPr>
            <sz val="9"/>
            <color indexed="81"/>
            <rFont val="Tahoma"/>
            <family val="2"/>
          </rPr>
          <t xml:space="preserve">
La LB inicial era 492.798 y se solicitó ajuste a 432.372. NO SE HA TENIDO RESPUESTA POR DNP- Pendiente aplicar</t>
        </r>
      </text>
    </comment>
    <comment ref="V24" authorId="0" shapeId="0" xr:uid="{A34FF249-370C-4C8E-BAD8-5B970E045A64}">
      <text>
        <r>
          <rPr>
            <b/>
            <sz val="9"/>
            <color indexed="81"/>
            <rFont val="Tahoma"/>
            <family val="2"/>
          </rPr>
          <t>Sonia Esperanza Casas Merchan:</t>
        </r>
        <r>
          <rPr>
            <sz val="9"/>
            <color indexed="81"/>
            <rFont val="Tahoma"/>
            <family val="2"/>
          </rPr>
          <t xml:space="preserve">
De aprobarse el ajuste por DNP cambiar{ia a 500.798</t>
        </r>
      </text>
    </comment>
    <comment ref="D26" authorId="0" shapeId="0" xr:uid="{26B4F344-B0A7-401C-916B-305CAABB1ABA}">
      <text>
        <r>
          <rPr>
            <b/>
            <sz val="9"/>
            <color indexed="81"/>
            <rFont val="Tahoma"/>
            <family val="2"/>
          </rPr>
          <t>Sonia Esperanza Casas Merchan:</t>
        </r>
        <r>
          <rPr>
            <sz val="9"/>
            <color indexed="81"/>
            <rFont val="Tahoma"/>
            <family val="2"/>
          </rPr>
          <t xml:space="preserve">
se solicitó ajuste de 457.081 a 553.408, no respondido ni ajustado en Sinergia</t>
        </r>
      </text>
    </comment>
    <comment ref="E26" authorId="0" shapeId="0" xr:uid="{673720DD-9B51-4853-82A3-A5CAA78FA660}">
      <text>
        <r>
          <rPr>
            <b/>
            <sz val="9"/>
            <color indexed="81"/>
            <rFont val="Tahoma"/>
            <family val="2"/>
          </rPr>
          <t>Sonia Esperanza Casas Merchan:</t>
        </r>
        <r>
          <rPr>
            <sz val="9"/>
            <color indexed="81"/>
            <rFont val="Tahoma"/>
            <family val="2"/>
          </rPr>
          <t xml:space="preserve">
La LB inicial era 659.000 y se solicitó ajustar a 690.512, aprobado por DNP en 2015 y pendiente por aplicar en SINERGIA</t>
        </r>
      </text>
    </comment>
    <comment ref="F26" authorId="0" shapeId="0" xr:uid="{9C4CE54F-D6C3-4A0C-BFFB-EB2C86379762}">
      <text>
        <r>
          <rPr>
            <b/>
            <sz val="9"/>
            <color indexed="81"/>
            <rFont val="Tahoma"/>
            <family val="2"/>
          </rPr>
          <t>Sonia Esperanza Casas Merchan:</t>
        </r>
        <r>
          <rPr>
            <sz val="9"/>
            <color indexed="81"/>
            <rFont val="Tahoma"/>
            <family val="2"/>
          </rPr>
          <t xml:space="preserve">
En SINERGIA no hay dato</t>
        </r>
      </text>
    </comment>
    <comment ref="I26" authorId="0" shapeId="0" xr:uid="{2A3DF11D-5D27-472E-9EFA-23B1D603AA36}">
      <text>
        <r>
          <rPr>
            <b/>
            <sz val="9"/>
            <color indexed="81"/>
            <rFont val="Tahoma"/>
            <family val="2"/>
          </rPr>
          <t>Sonia Esperanza Casas Merchan:</t>
        </r>
        <r>
          <rPr>
            <sz val="9"/>
            <color indexed="81"/>
            <rFont val="Tahoma"/>
            <family val="2"/>
          </rPr>
          <t xml:space="preserve">
En SINERGIA no se identifican datos</t>
        </r>
      </text>
    </comment>
    <comment ref="O26" authorId="0" shapeId="0" xr:uid="{BAD0FD03-F076-4944-869D-7A4DAFCA4812}">
      <text>
        <r>
          <rPr>
            <b/>
            <sz val="9"/>
            <color indexed="81"/>
            <rFont val="Tahoma"/>
            <family val="2"/>
          </rPr>
          <t>Sonia Esperanza Casas Merchan:</t>
        </r>
        <r>
          <rPr>
            <sz val="9"/>
            <color indexed="81"/>
            <rFont val="Tahoma"/>
            <family val="2"/>
          </rPr>
          <t xml:space="preserve">
En SINERGIA no se identifican datos</t>
        </r>
      </text>
    </comment>
    <comment ref="V26" authorId="0" shapeId="0" xr:uid="{3DAA161A-5830-4EDB-92F0-2657FB75ADE3}">
      <text>
        <r>
          <rPr>
            <b/>
            <sz val="9"/>
            <color indexed="81"/>
            <rFont val="Tahoma"/>
            <family val="2"/>
          </rPr>
          <t>Sonia Esperanza Casas Merchan:</t>
        </r>
        <r>
          <rPr>
            <sz val="9"/>
            <color indexed="81"/>
            <rFont val="Tahoma"/>
            <family val="2"/>
          </rPr>
          <t xml:space="preserve">
En SINERGIA no hay dato</t>
        </r>
      </text>
    </comment>
    <comment ref="G27" authorId="0" shapeId="0" xr:uid="{9180C241-AFF3-46B9-831A-2B112E04F5E6}">
      <text>
        <r>
          <rPr>
            <b/>
            <sz val="9"/>
            <color indexed="81"/>
            <rFont val="Tahoma"/>
            <family val="2"/>
          </rPr>
          <t>Sonia Esperanza Casas Merchan:</t>
        </r>
        <r>
          <rPr>
            <sz val="9"/>
            <color indexed="81"/>
            <rFont val="Tahoma"/>
            <family val="2"/>
          </rPr>
          <t xml:space="preserve">
era 1977 se ajustó a 2,772</t>
        </r>
      </text>
    </comment>
    <comment ref="X27" authorId="0" shapeId="0" xr:uid="{A03B3CA0-083D-43E8-9C6E-EE741B9A3871}">
      <text>
        <r>
          <rPr>
            <b/>
            <sz val="9"/>
            <color indexed="81"/>
            <rFont val="Tahoma"/>
            <family val="2"/>
          </rPr>
          <t xml:space="preserve">Sonia Esperanza Casas Merchan:
</t>
        </r>
        <r>
          <rPr>
            <sz val="9"/>
            <color indexed="81"/>
            <rFont val="Tahoma"/>
            <family val="2"/>
          </rPr>
          <t>Total corte mayo (acum): 25.878 aulas (9.576 entregadas; 14.985 contratadas y 1.317 gestionadas)</t>
        </r>
      </text>
    </comment>
    <comment ref="D28" authorId="0" shapeId="0" xr:uid="{2D8D5372-40D6-4C71-8FD5-9FC32234E8B1}">
      <text>
        <r>
          <rPr>
            <b/>
            <sz val="9"/>
            <color indexed="81"/>
            <rFont val="Tahoma"/>
            <family val="2"/>
          </rPr>
          <t>Sonia Esperanza Casas Merchan:</t>
        </r>
        <r>
          <rPr>
            <sz val="9"/>
            <color indexed="81"/>
            <rFont val="Tahoma"/>
            <family val="2"/>
          </rPr>
          <t xml:space="preserve">
En SINERGIA aparece como 71,07% pero por datos en serie debe ajustarse a 57,79%</t>
        </r>
      </text>
    </comment>
    <comment ref="A35" authorId="1" shapeId="0" xr:uid="{258F37D0-33C9-48B2-A0C2-5442CACB29C2}">
      <text>
        <r>
          <rPr>
            <b/>
            <sz val="9"/>
            <color indexed="81"/>
            <rFont val="Tahoma"/>
            <family val="2"/>
          </rPr>
          <t>SoniaCasas:</t>
        </r>
        <r>
          <rPr>
            <sz val="9"/>
            <color indexed="81"/>
            <rFont val="Tahoma"/>
            <family val="2"/>
          </rPr>
          <t xml:space="preserve">
En el TC Presidente figura como Número de docentes por tutor (PTA)</t>
        </r>
      </text>
    </comment>
    <comment ref="K35" authorId="0" shapeId="0" xr:uid="{AE87F5E7-2244-4469-B421-A5132F5D8B4D}">
      <text>
        <r>
          <rPr>
            <b/>
            <sz val="9"/>
            <color indexed="81"/>
            <rFont val="Tahoma"/>
            <family val="2"/>
          </rPr>
          <t>Sonia Esperanza Casas Merchan:</t>
        </r>
        <r>
          <rPr>
            <sz val="9"/>
            <color indexed="81"/>
            <rFont val="Tahoma"/>
            <family val="2"/>
          </rPr>
          <t xml:space="preserve">
Avance 2016 es 26,11 figura en sinergia como 25,85</t>
        </r>
      </text>
    </comment>
    <comment ref="A37" authorId="1" shapeId="0" xr:uid="{39125FFB-F7AF-4A8D-A0CF-9496636FFC13}">
      <text>
        <r>
          <rPr>
            <b/>
            <sz val="9"/>
            <color indexed="81"/>
            <rFont val="Tahoma"/>
            <family val="2"/>
          </rPr>
          <t>SoniaCasas:</t>
        </r>
        <r>
          <rPr>
            <sz val="9"/>
            <color indexed="81"/>
            <rFont val="Tahoma"/>
            <family val="2"/>
          </rPr>
          <t xml:space="preserve">
Se acompaña de otro denominado Docentes o aspirantes docentes beneficiados con recursos de la nación para mejorar su nivel de ofrmación a nivel de postgrado.</t>
        </r>
      </text>
    </comment>
    <comment ref="F37" authorId="1" shapeId="0" xr:uid="{3619321A-0824-43FC-8E42-2AC6080EB3D6}">
      <text>
        <r>
          <rPr>
            <b/>
            <sz val="9"/>
            <color indexed="81"/>
            <rFont val="Tahoma"/>
            <family val="2"/>
          </rPr>
          <t>SoniaCasas:</t>
        </r>
        <r>
          <rPr>
            <sz val="9"/>
            <color indexed="81"/>
            <rFont val="Tahoma"/>
            <family val="2"/>
          </rPr>
          <t xml:space="preserve">
meta en SINERGIA del 32%</t>
        </r>
      </text>
    </comment>
    <comment ref="E39" authorId="0" shapeId="0" xr:uid="{11E7F6F2-40C5-462C-8821-8C2283C62A5E}">
      <text>
        <r>
          <rPr>
            <b/>
            <sz val="9"/>
            <color indexed="81"/>
            <rFont val="Tahoma"/>
            <family val="2"/>
          </rPr>
          <t>Sonia Esperanza Casas Merchan:</t>
        </r>
        <r>
          <rPr>
            <sz val="9"/>
            <color indexed="81"/>
            <rFont val="Tahoma"/>
            <family val="2"/>
          </rPr>
          <t xml:space="preserve">
La LB inicial era de 4.293; se solicitó ajustar a 5.703- NO SE HA RECIBIDO RESPUESTA OFICIAL DNP- pendiente por aplicar en SINERGIA</t>
        </r>
      </text>
    </comment>
    <comment ref="D40" authorId="0" shapeId="0" xr:uid="{2A27242B-5F12-43B9-BFA2-28C0E512B2FE}">
      <text>
        <r>
          <rPr>
            <b/>
            <sz val="9"/>
            <color indexed="81"/>
            <rFont val="Tahoma"/>
            <family val="2"/>
          </rPr>
          <t>Sonia Esperanza Casas Merchan:</t>
        </r>
        <r>
          <rPr>
            <sz val="9"/>
            <color indexed="81"/>
            <rFont val="Tahoma"/>
            <family val="2"/>
          </rPr>
          <t xml:space="preserve">
la meta inicial es de 11,96% y no 12%
lb 9,4%; NO SE AUTORIZÓ CAMBIO DE META CUATRIENIO</t>
        </r>
      </text>
    </comment>
    <comment ref="E40" authorId="0" shapeId="0" xr:uid="{A8F1FB88-5785-4D6F-BB27-5632187647A8}">
      <text>
        <r>
          <rPr>
            <b/>
            <sz val="9"/>
            <color indexed="81"/>
            <rFont val="Tahoma"/>
            <family val="2"/>
          </rPr>
          <t>Sonia Esperanza Casas Merchan:</t>
        </r>
        <r>
          <rPr>
            <sz val="9"/>
            <color indexed="81"/>
            <rFont val="Tahoma"/>
            <family val="2"/>
          </rPr>
          <t xml:space="preserve">
Es 9,4% y no 94% como aparece en SINERGIA; se ajustó y ya aparece 9,4%</t>
        </r>
      </text>
    </comment>
    <comment ref="V40" authorId="0" shapeId="0" xr:uid="{8E480A84-87EB-4053-9939-27B0D1C90A33}">
      <text>
        <r>
          <rPr>
            <b/>
            <sz val="9"/>
            <color indexed="81"/>
            <rFont val="Tahoma"/>
            <family val="2"/>
          </rPr>
          <t>Sonia Esperanza Casas Merchan:</t>
        </r>
        <r>
          <rPr>
            <sz val="9"/>
            <color indexed="81"/>
            <rFont val="Tahoma"/>
            <family val="2"/>
          </rPr>
          <t xml:space="preserve">
En sinergia aparece como 12% debe ajustarse a 11,96%</t>
        </r>
      </text>
    </comment>
    <comment ref="K41" authorId="0" shapeId="0" xr:uid="{53ED921E-B042-4A8B-9B9D-0045F79F8189}">
      <text>
        <r>
          <rPr>
            <b/>
            <sz val="9"/>
            <color indexed="81"/>
            <rFont val="Tahoma"/>
            <family val="2"/>
          </rPr>
          <t>Sonia Esperanza Casas Merchan:</t>
        </r>
        <r>
          <rPr>
            <sz val="9"/>
            <color indexed="81"/>
            <rFont val="Tahoma"/>
            <family val="2"/>
          </rPr>
          <t xml:space="preserve">
Estaba en 4.230 pero correspondía a un reporte preliminar; el dato ajustado es 4.188 y pedimos que así se ajustara, pero en realidad después de contrastar contra el cualitativo el área técnica informa que es 4.128</t>
        </r>
      </text>
    </comment>
    <comment ref="Q41" authorId="0" shapeId="0" xr:uid="{138B350C-C7F1-4459-A2E7-5E3DAC8DC4F2}">
      <text>
        <r>
          <rPr>
            <b/>
            <sz val="9"/>
            <color indexed="81"/>
            <rFont val="Tahoma"/>
            <family val="2"/>
          </rPr>
          <t>Sonia Esperanza Casas Merchan:</t>
        </r>
        <r>
          <rPr>
            <sz val="9"/>
            <color indexed="81"/>
            <rFont val="Tahoma"/>
            <family val="2"/>
          </rPr>
          <t xml:space="preserve">
estaba en 4.083 en sinergia, pero ya fue ajustado</t>
        </r>
      </text>
    </comment>
    <comment ref="G48" authorId="0" shapeId="0" xr:uid="{5C956FB5-BDAE-4E26-B2F7-96688F653D6F}">
      <text>
        <r>
          <rPr>
            <b/>
            <sz val="9"/>
            <color indexed="81"/>
            <rFont val="Tahoma"/>
            <family val="2"/>
          </rPr>
          <t>Sonia Esperanza Casas Merchan:</t>
        </r>
        <r>
          <rPr>
            <sz val="9"/>
            <color indexed="81"/>
            <rFont val="Tahoma"/>
            <family val="2"/>
          </rPr>
          <t xml:space="preserve">
En SINERGIA está como 22%</t>
        </r>
      </text>
    </comment>
    <comment ref="K48" authorId="0" shapeId="0" xr:uid="{97AB9AE0-3E55-4235-8AF0-335A4D00F1C2}">
      <text>
        <r>
          <rPr>
            <b/>
            <sz val="9"/>
            <color indexed="81"/>
            <rFont val="Tahoma"/>
            <family val="2"/>
          </rPr>
          <t>Sonia Esperanza Casas Merchan:</t>
        </r>
        <r>
          <rPr>
            <sz val="9"/>
            <color indexed="81"/>
            <rFont val="Tahoma"/>
            <family val="2"/>
          </rPr>
          <t xml:space="preserve">
En SINERGIA está como 26%</t>
        </r>
      </text>
    </comment>
    <comment ref="Q48" authorId="0" shapeId="0" xr:uid="{5F920748-243D-4AD5-BAB9-6B80DFE1DDDC}">
      <text>
        <r>
          <rPr>
            <b/>
            <sz val="9"/>
            <color indexed="81"/>
            <rFont val="Tahoma"/>
            <family val="2"/>
          </rPr>
          <t>Sonia Esperanza Casas Merchan:</t>
        </r>
        <r>
          <rPr>
            <sz val="9"/>
            <color indexed="81"/>
            <rFont val="Tahoma"/>
            <family val="2"/>
          </rPr>
          <t xml:space="preserve">
en SINERGIA está como 53%</t>
        </r>
      </text>
    </comment>
    <comment ref="K51" authorId="0" shapeId="0" xr:uid="{74732968-945D-41AC-8890-9371D92A8BE6}">
      <text>
        <r>
          <rPr>
            <b/>
            <sz val="9"/>
            <color indexed="81"/>
            <rFont val="Tahoma"/>
            <family val="2"/>
          </rPr>
          <t>Sonia Esperanza Casas Merchan:</t>
        </r>
        <r>
          <rPr>
            <sz val="9"/>
            <color indexed="81"/>
            <rFont val="Tahoma"/>
            <family val="2"/>
          </rPr>
          <t xml:space="preserve">
En SINERGIA está en 11,3 y es preliminar, se pidió ajustar a 9,1</t>
        </r>
      </text>
    </comment>
    <comment ref="D52" authorId="0" shapeId="0" xr:uid="{9D3B77A1-94CB-4332-8394-74C1E6C9EC5A}">
      <text>
        <r>
          <rPr>
            <b/>
            <sz val="9"/>
            <color indexed="81"/>
            <rFont val="Tahoma"/>
            <family val="2"/>
          </rPr>
          <t>Sonia Esperanza Casas Merchan:</t>
        </r>
        <r>
          <rPr>
            <sz val="9"/>
            <color indexed="81"/>
            <rFont val="Tahoma"/>
            <family val="2"/>
          </rPr>
          <t xml:space="preserve">
suma la LB</t>
        </r>
      </text>
    </comment>
    <comment ref="Q52" authorId="0" shapeId="0" xr:uid="{C1533031-9620-461D-89C7-2731C4A0342F}">
      <text>
        <r>
          <rPr>
            <b/>
            <sz val="9"/>
            <color indexed="81"/>
            <rFont val="Tahoma"/>
            <family val="2"/>
          </rPr>
          <t>Sonia Esperanza Casas Merchan:</t>
        </r>
        <r>
          <rPr>
            <sz val="9"/>
            <color indexed="81"/>
            <rFont val="Tahoma"/>
            <family val="2"/>
          </rPr>
          <t xml:space="preserve">
indican que son 20.855</t>
        </r>
      </text>
    </comment>
    <comment ref="A56" authorId="1" shapeId="0" xr:uid="{6F4725CC-6D3C-49AE-988E-B10700757EEA}">
      <text>
        <r>
          <rPr>
            <b/>
            <sz val="9"/>
            <color indexed="81"/>
            <rFont val="Tahoma"/>
            <family val="2"/>
          </rPr>
          <t>SoniaCasas:</t>
        </r>
        <r>
          <rPr>
            <sz val="9"/>
            <color indexed="81"/>
            <rFont val="Tahoma"/>
            <family val="2"/>
          </rPr>
          <t xml:space="preserve">
En el TC Presidente figura como Número de departamentos con tasa de cobertura en Educación Superior por encima del 20%</t>
        </r>
      </text>
    </comment>
    <comment ref="K57" authorId="0" shapeId="0" xr:uid="{D7F4D7AA-7C7A-4688-B0DF-99983D9A2243}">
      <text>
        <r>
          <rPr>
            <b/>
            <sz val="9"/>
            <color indexed="81"/>
            <rFont val="Tahoma"/>
            <family val="2"/>
          </rPr>
          <t>Sonia Esperanza Casas Merchan:</t>
        </r>
        <r>
          <rPr>
            <sz val="9"/>
            <color indexed="81"/>
            <rFont val="Tahoma"/>
            <family val="2"/>
          </rPr>
          <t xml:space="preserve">
En SINERGIA está diferente</t>
        </r>
      </text>
    </comment>
    <comment ref="Q57" authorId="0" shapeId="0" xr:uid="{71413CA7-9B68-4EC3-B6B3-45B0D15A7AF5}">
      <text>
        <r>
          <rPr>
            <b/>
            <sz val="9"/>
            <color indexed="81"/>
            <rFont val="Tahoma"/>
            <family val="2"/>
          </rPr>
          <t>Sonia Esperanza Casas Merchan:</t>
        </r>
        <r>
          <rPr>
            <sz val="9"/>
            <color indexed="81"/>
            <rFont val="Tahoma"/>
            <family val="2"/>
          </rPr>
          <t xml:space="preserve">
</t>
        </r>
      </text>
    </comment>
    <comment ref="A58" authorId="1" shapeId="0" xr:uid="{B61183AC-8CF2-45A6-A6B2-6B4A0A1CDF7B}">
      <text>
        <r>
          <rPr>
            <b/>
            <sz val="9"/>
            <color indexed="81"/>
            <rFont val="Tahoma"/>
            <family val="2"/>
          </rPr>
          <t>SoniaCasas:
En el TC Presidente figura como Créditos-Beca otorgados para estudios en educación superior</t>
        </r>
      </text>
    </comment>
    <comment ref="E58" authorId="0" shapeId="0" xr:uid="{0951C242-8994-4F5F-988B-3E5ED85AB1FF}">
      <text>
        <r>
          <rPr>
            <b/>
            <sz val="9"/>
            <color indexed="81"/>
            <rFont val="Tahoma"/>
            <family val="2"/>
          </rPr>
          <t>Sonia Esperanza Casas Merchan:</t>
        </r>
        <r>
          <rPr>
            <sz val="9"/>
            <color indexed="81"/>
            <rFont val="Tahoma"/>
            <family val="2"/>
          </rPr>
          <t xml:space="preserve">
La LB inicial es de 23.067, pero se solicitó ajuste a 26.889 aprobado por DNP sin aplicar; sin embargo, el concepto de DNP es de inviable cambio LB</t>
        </r>
      </text>
    </comment>
    <comment ref="G58" authorId="1" shapeId="0" xr:uid="{8D96C78D-F3D8-47CF-987E-5AD0B169B718}">
      <text>
        <r>
          <rPr>
            <b/>
            <sz val="9"/>
            <color indexed="81"/>
            <rFont val="Tahoma"/>
            <family val="2"/>
          </rPr>
          <t>SoniaCasas:</t>
        </r>
        <r>
          <rPr>
            <sz val="9"/>
            <color indexed="81"/>
            <rFont val="Tahoma"/>
            <family val="2"/>
          </rPr>
          <t xml:space="preserve">
en sinergia 13.498</t>
        </r>
      </text>
    </comment>
    <comment ref="I58" authorId="0" shapeId="0" xr:uid="{B1DFC1A8-0D3E-41F7-8212-1C7EEC46268B}">
      <text>
        <r>
          <rPr>
            <b/>
            <sz val="9"/>
            <color indexed="81"/>
            <rFont val="Tahoma"/>
            <family val="2"/>
          </rPr>
          <t>Sonia Esperanza Casas Merchan:</t>
        </r>
        <r>
          <rPr>
            <sz val="9"/>
            <color indexed="81"/>
            <rFont val="Tahoma"/>
            <family val="2"/>
          </rPr>
          <t xml:space="preserve">
La meta está en 37.614 y se solicitó ajustar porque la suma de las metas no da 125.000; AJUSTADO DNP</t>
        </r>
      </text>
    </comment>
    <comment ref="K59" authorId="0" shapeId="0" xr:uid="{9DD8B86F-AE35-4276-974C-013D86B5D666}">
      <text>
        <r>
          <rPr>
            <b/>
            <sz val="9"/>
            <color indexed="81"/>
            <rFont val="Tahoma"/>
            <family val="2"/>
          </rPr>
          <t>Sonia Esperanza Casas Merchan:</t>
        </r>
        <r>
          <rPr>
            <sz val="9"/>
            <color indexed="81"/>
            <rFont val="Tahoma"/>
            <family val="2"/>
          </rPr>
          <t xml:space="preserve">
En sinergia está como 43,70%</t>
        </r>
      </text>
    </comment>
    <comment ref="D60" authorId="0" shapeId="0" xr:uid="{1FC0FAB4-9597-4CF3-B1FC-5B3D81F758D8}">
      <text>
        <r>
          <rPr>
            <b/>
            <sz val="9"/>
            <color indexed="81"/>
            <rFont val="Tahoma"/>
            <family val="2"/>
          </rPr>
          <t xml:space="preserve">Sonia Esperanza Casas Merchan:
</t>
        </r>
        <r>
          <rPr>
            <sz val="9"/>
            <color indexed="81"/>
            <rFont val="Tahoma"/>
            <family val="2"/>
          </rPr>
          <t>Estaba en 10.000; DNP mediante oficio 20183600279821 del 04/05/18 hace cambio a 11.638</t>
        </r>
      </text>
    </comment>
    <comment ref="F60" authorId="0" shapeId="0" xr:uid="{9ED83CA4-AB8F-4C11-8E01-6756CD7D104C}">
      <text>
        <r>
          <rPr>
            <b/>
            <sz val="9"/>
            <color indexed="81"/>
            <rFont val="Tahoma"/>
            <family val="2"/>
          </rPr>
          <t>Sonia Esperanza Casas Merchan:</t>
        </r>
        <r>
          <rPr>
            <sz val="9"/>
            <color indexed="81"/>
            <rFont val="Tahoma"/>
            <family val="2"/>
          </rPr>
          <t xml:space="preserve">
Estaba en 9100; DNP en oficio 20183600279821 del 04/05/18 hace cambio a 9.500</t>
        </r>
      </text>
    </comment>
    <comment ref="I60" authorId="0" shapeId="0" xr:uid="{5072A6E6-87BE-4F57-B035-FE63ACB8FE81}">
      <text>
        <r>
          <rPr>
            <b/>
            <sz val="9"/>
            <color indexed="81"/>
            <rFont val="Tahoma"/>
            <family val="2"/>
          </rPr>
          <t>Sonia Esperanza Casas Merchan:</t>
        </r>
        <r>
          <rPr>
            <sz val="9"/>
            <color indexed="81"/>
            <rFont val="Tahoma"/>
            <family val="2"/>
          </rPr>
          <t xml:space="preserve">
Estaba en 9.200; DNP mediante oficio 20183600279821 del 04/05/18 hace cambio a 10.216</t>
        </r>
      </text>
    </comment>
    <comment ref="O60" authorId="0" shapeId="0" xr:uid="{F0602AF5-ABFC-4952-9E3F-2DF2640AB2CF}">
      <text>
        <r>
          <rPr>
            <b/>
            <sz val="9"/>
            <color indexed="81"/>
            <rFont val="Tahoma"/>
            <family val="2"/>
          </rPr>
          <t xml:space="preserve">Sonia Esperanza Casas Merchan:
</t>
        </r>
        <r>
          <rPr>
            <sz val="9"/>
            <color indexed="81"/>
            <rFont val="Tahoma"/>
            <family val="2"/>
          </rPr>
          <t>Estaba en 9.400; DNP mediante oficio 20183600279821 del 04/05/18 hace cambio a 10.932</t>
        </r>
      </text>
    </comment>
    <comment ref="V60" authorId="0" shapeId="0" xr:uid="{8756CE5D-21BA-4455-98BF-09B2909D482D}">
      <text>
        <r>
          <rPr>
            <b/>
            <sz val="9"/>
            <color indexed="81"/>
            <rFont val="Tahoma"/>
            <family val="2"/>
          </rPr>
          <t xml:space="preserve">Sonia Esperanza Casas Merchan:
</t>
        </r>
        <r>
          <rPr>
            <sz val="9"/>
            <color indexed="81"/>
            <rFont val="Tahoma"/>
            <family val="2"/>
          </rPr>
          <t>Estaba en 10.000; DNP mediante oficio 20183600279821 del 04/05/18 hace cambio a 11.638</t>
        </r>
      </text>
    </comment>
    <comment ref="E63" authorId="0" shapeId="0" xr:uid="{19C1CBFF-F627-40F7-AFA2-9165F19068DC}">
      <text>
        <r>
          <rPr>
            <b/>
            <sz val="9"/>
            <color indexed="81"/>
            <rFont val="Tahoma"/>
            <family val="2"/>
          </rPr>
          <t>Sonia Esperanza Casas Merchan:</t>
        </r>
        <r>
          <rPr>
            <sz val="9"/>
            <color indexed="81"/>
            <rFont val="Tahoma"/>
            <family val="2"/>
          </rPr>
          <t xml:space="preserve">
La LB inicial era de 13.429 y se solicitó ajustar a 14.623, aprobado por DNP en 2015 y aplicado en SINERGIA</t>
        </r>
      </text>
    </comment>
    <comment ref="D64" authorId="0" shapeId="0" xr:uid="{18AFCBFF-31A6-41E5-BA96-3B16510E13B0}">
      <text>
        <r>
          <rPr>
            <b/>
            <sz val="9"/>
            <color indexed="81"/>
            <rFont val="Tahoma"/>
            <family val="2"/>
          </rPr>
          <t>Sonia Esperanza Casas Merchan:</t>
        </r>
        <r>
          <rPr>
            <sz val="9"/>
            <color indexed="81"/>
            <rFont val="Tahoma"/>
            <family val="2"/>
          </rPr>
          <t xml:space="preserve">
Esta meta tiene solicitud de ajuste de 4.004 a 2000, aprobada por DNP y pendiente por aplicar en SINERGIA</t>
        </r>
      </text>
    </comment>
    <comment ref="V64" authorId="0" shapeId="0" xr:uid="{74EB75E2-EF9E-47D6-A5B8-6C9DCBAAE6FB}">
      <text>
        <r>
          <rPr>
            <b/>
            <sz val="9"/>
            <color indexed="81"/>
            <rFont val="Tahoma"/>
            <family val="2"/>
          </rPr>
          <t>Sonia Esperanza Casas Merchan:</t>
        </r>
        <r>
          <rPr>
            <sz val="9"/>
            <color indexed="81"/>
            <rFont val="Tahoma"/>
            <family val="2"/>
          </rPr>
          <t xml:space="preserve">
En sinergia está como 4.004</t>
        </r>
      </text>
    </comment>
    <comment ref="A65" authorId="1" shapeId="0" xr:uid="{FC07CB22-69A9-4F4A-8191-13411CE5ECAC}">
      <text>
        <r>
          <rPr>
            <b/>
            <sz val="9"/>
            <color indexed="81"/>
            <rFont val="Tahoma"/>
            <family val="2"/>
          </rPr>
          <t>SoniaCasas:</t>
        </r>
        <r>
          <rPr>
            <sz val="9"/>
            <color indexed="81"/>
            <rFont val="Tahoma"/>
            <family val="2"/>
          </rPr>
          <t xml:space="preserve">
En el TC Presidente figura como Becas otorgadas mediante programa Ser Pilo Paga</t>
        </r>
      </text>
    </comment>
    <comment ref="H66" authorId="0" shapeId="0" xr:uid="{CB581C82-7A3A-4C1D-9B2D-E09DE4BAA5A8}">
      <text>
        <r>
          <rPr>
            <b/>
            <sz val="9"/>
            <color indexed="81"/>
            <rFont val="Tahoma"/>
            <family val="2"/>
          </rPr>
          <t>Sonia Esperanza Casas Merchan:</t>
        </r>
        <r>
          <rPr>
            <sz val="9"/>
            <color indexed="81"/>
            <rFont val="Tahoma"/>
            <family val="2"/>
          </rPr>
          <t xml:space="preserve">
todo lo que sea inferior a 5% cumple la meta</t>
        </r>
      </text>
    </comment>
    <comment ref="K66" authorId="0" shapeId="0" xr:uid="{D6458443-44E0-4907-8EC1-245F33F5D56A}">
      <text>
        <r>
          <rPr>
            <b/>
            <sz val="9"/>
            <color indexed="81"/>
            <rFont val="Tahoma"/>
            <family val="2"/>
          </rPr>
          <t>Sonia Esperanza Casas Merchan:</t>
        </r>
        <r>
          <rPr>
            <sz val="9"/>
            <color indexed="81"/>
            <rFont val="Tahoma"/>
            <family val="2"/>
          </rPr>
          <t xml:space="preserve">
esta en sinergia como 0,17</t>
        </r>
      </text>
    </comment>
    <comment ref="M66" authorId="0" shapeId="0" xr:uid="{4972C87F-6C18-49E3-8659-A07594EF4C64}">
      <text>
        <r>
          <rPr>
            <b/>
            <sz val="9"/>
            <color indexed="81"/>
            <rFont val="Tahoma"/>
            <family val="2"/>
          </rPr>
          <t>Sonia Esperanza Casas Merchan:</t>
        </r>
        <r>
          <rPr>
            <sz val="9"/>
            <color indexed="81"/>
            <rFont val="Tahoma"/>
            <family val="2"/>
          </rPr>
          <t xml:space="preserve">
todo lo que sea inferior a 5% cumple la meta</t>
        </r>
      </text>
    </comment>
    <comment ref="S66" authorId="0" shapeId="0" xr:uid="{5CCC9ADF-52DD-4D4A-A2BC-26BB1FECBF38}">
      <text>
        <r>
          <rPr>
            <b/>
            <sz val="9"/>
            <color indexed="81"/>
            <rFont val="Tahoma"/>
            <family val="2"/>
          </rPr>
          <t>Sonia Esperanza Casas Merchan:</t>
        </r>
        <r>
          <rPr>
            <sz val="9"/>
            <color indexed="81"/>
            <rFont val="Tahoma"/>
            <family val="2"/>
          </rPr>
          <t xml:space="preserve">
todo lo que sea inferior a 5% cumple la meta</t>
        </r>
      </text>
    </comment>
    <comment ref="Z66" authorId="0" shapeId="0" xr:uid="{313BF430-A9F3-4516-B46D-9EBB20DDAAD8}">
      <text>
        <r>
          <rPr>
            <b/>
            <sz val="9"/>
            <color indexed="81"/>
            <rFont val="Tahoma"/>
            <family val="2"/>
          </rPr>
          <t>Sonia Esperanza Casas Merchan:</t>
        </r>
        <r>
          <rPr>
            <sz val="9"/>
            <color indexed="81"/>
            <rFont val="Tahoma"/>
            <family val="2"/>
          </rPr>
          <t xml:space="preserve">
todo lo que sea inferior a 5% cumple la meta</t>
        </r>
      </text>
    </comment>
    <comment ref="D70" authorId="0" shapeId="0" xr:uid="{3BEF53D1-77C8-4C57-93F8-A635E8A7B7C2}">
      <text>
        <r>
          <rPr>
            <b/>
            <sz val="9"/>
            <color indexed="81"/>
            <rFont val="Tahoma"/>
            <family val="2"/>
          </rPr>
          <t>Sonia Esperanza Casas Merchan:</t>
        </r>
        <r>
          <rPr>
            <sz val="9"/>
            <color indexed="81"/>
            <rFont val="Tahoma"/>
            <family val="2"/>
          </rPr>
          <t xml:space="preserve">
En SINERGIA no había datos, pero ya lo aplicaron</t>
        </r>
      </text>
    </comment>
    <comment ref="F70" authorId="0" shapeId="0" xr:uid="{E2247BE9-6747-4F29-AEDA-A43584E52001}">
      <text>
        <r>
          <rPr>
            <b/>
            <sz val="9"/>
            <color indexed="81"/>
            <rFont val="Tahoma"/>
            <family val="2"/>
          </rPr>
          <t>Sonia Esperanza Casas Merchan:</t>
        </r>
        <r>
          <rPr>
            <sz val="9"/>
            <color indexed="81"/>
            <rFont val="Tahoma"/>
            <family val="2"/>
          </rPr>
          <t xml:space="preserve">
En SINERGIA no había datos, pero ya lo aplicaron</t>
        </r>
      </text>
    </comment>
    <comment ref="I70" authorId="0" shapeId="0" xr:uid="{98BD651C-500B-4426-B1FA-DEC9B7491932}">
      <text>
        <r>
          <rPr>
            <b/>
            <sz val="9"/>
            <color indexed="81"/>
            <rFont val="Tahoma"/>
            <family val="2"/>
          </rPr>
          <t>Sonia Esperanza Casas Merchan:</t>
        </r>
        <r>
          <rPr>
            <sz val="9"/>
            <color indexed="81"/>
            <rFont val="Tahoma"/>
            <family val="2"/>
          </rPr>
          <t xml:space="preserve">
En SINERGIA no había datos, pero ya lo aplicaron</t>
        </r>
      </text>
    </comment>
    <comment ref="O70" authorId="0" shapeId="0" xr:uid="{5B62D510-529D-48EB-AED9-D5AA618CA17C}">
      <text>
        <r>
          <rPr>
            <b/>
            <sz val="9"/>
            <color indexed="81"/>
            <rFont val="Tahoma"/>
            <family val="2"/>
          </rPr>
          <t>Sonia Esperanza Casas Merchan:</t>
        </r>
        <r>
          <rPr>
            <sz val="9"/>
            <color indexed="81"/>
            <rFont val="Tahoma"/>
            <family val="2"/>
          </rPr>
          <t xml:space="preserve">
En SINERGIA no había datos, pero ya lo aplicaron</t>
        </r>
      </text>
    </comment>
    <comment ref="Q70" authorId="0" shapeId="0" xr:uid="{8B268055-76EC-4F77-B216-D9835957E260}">
      <text>
        <r>
          <rPr>
            <b/>
            <sz val="9"/>
            <color indexed="81"/>
            <rFont val="Tahoma"/>
            <family val="2"/>
          </rPr>
          <t>Sonia Esperanza Casas Merchan:</t>
        </r>
        <r>
          <rPr>
            <sz val="9"/>
            <color indexed="81"/>
            <rFont val="Tahoma"/>
            <family val="2"/>
          </rPr>
          <t xml:space="preserve">
se ajustó de 1.210 a 3.135 </t>
        </r>
      </text>
    </comment>
    <comment ref="V70" authorId="0" shapeId="0" xr:uid="{9D4734A4-0F3D-46A2-B8B8-C6E5A784C2B8}">
      <text>
        <r>
          <rPr>
            <b/>
            <sz val="9"/>
            <color indexed="81"/>
            <rFont val="Tahoma"/>
            <family val="2"/>
          </rPr>
          <t>Sonia Esperanza Casas Merchan:</t>
        </r>
        <r>
          <rPr>
            <sz val="9"/>
            <color indexed="81"/>
            <rFont val="Tahoma"/>
            <family val="2"/>
          </rPr>
          <t xml:space="preserve">
En SINERGIA no había datos, pero ya lo aplicaron</t>
        </r>
      </text>
    </comment>
    <comment ref="F71" authorId="0" shapeId="0" xr:uid="{69D6855E-E896-4D96-B105-91BBE8155D22}">
      <text>
        <r>
          <rPr>
            <b/>
            <sz val="9"/>
            <color indexed="81"/>
            <rFont val="Tahoma"/>
            <family val="2"/>
          </rPr>
          <t>Sonia Esperanza Casas Merchan:</t>
        </r>
        <r>
          <rPr>
            <sz val="9"/>
            <color indexed="81"/>
            <rFont val="Tahoma"/>
            <family val="2"/>
          </rPr>
          <t xml:space="preserve">
La LB en SINERGIA figura como 94 y es 12 la inicial; no obstante, nunk autorizaron cambio de meta por tanto, quedó como 94; lo subsanaron con el cambio del tipo de acumulación</t>
        </r>
      </text>
    </comment>
    <comment ref="E72" authorId="0" shapeId="0" xr:uid="{F819D6E9-CF19-469C-A70B-9E351CDAFEE8}">
      <text>
        <r>
          <rPr>
            <b/>
            <sz val="9"/>
            <color indexed="81"/>
            <rFont val="Tahoma"/>
            <family val="2"/>
          </rPr>
          <t>Sonia Esperanza Casas Merchan:</t>
        </r>
        <r>
          <rPr>
            <sz val="9"/>
            <color indexed="81"/>
            <rFont val="Tahoma"/>
            <family val="2"/>
          </rPr>
          <t xml:space="preserve">
SIN DATO EN SINERGIA</t>
        </r>
      </text>
    </comment>
    <comment ref="F72" authorId="0" shapeId="0" xr:uid="{52E09495-3623-4474-87FB-2CCA12024EFA}">
      <text>
        <r>
          <rPr>
            <b/>
            <sz val="9"/>
            <color indexed="81"/>
            <rFont val="Tahoma"/>
            <family val="2"/>
          </rPr>
          <t>Sonia Esperanza Casas Merchan:</t>
        </r>
        <r>
          <rPr>
            <sz val="9"/>
            <color indexed="81"/>
            <rFont val="Tahoma"/>
            <family val="2"/>
          </rPr>
          <t xml:space="preserve">
En SINERGIA no existe dato</t>
        </r>
      </text>
    </comment>
    <comment ref="L72" authorId="0" shapeId="0" xr:uid="{9C070E87-174A-416F-8EA7-ED7AC3E5E6C4}">
      <text>
        <r>
          <rPr>
            <b/>
            <sz val="9"/>
            <color indexed="81"/>
            <rFont val="Tahoma"/>
            <family val="2"/>
          </rPr>
          <t>Sonia Esperanza Casas Merchan:</t>
        </r>
        <r>
          <rPr>
            <sz val="9"/>
            <color indexed="81"/>
            <rFont val="Tahoma"/>
            <family val="2"/>
          </rPr>
          <t xml:space="preserve">
EN SINERGIA APARECE EN 0</t>
        </r>
      </text>
    </comment>
    <comment ref="F74" authorId="0" shapeId="0" xr:uid="{0FAB9F39-37E3-4885-B835-AA4B44F3FDF4}">
      <text>
        <r>
          <rPr>
            <b/>
            <sz val="9"/>
            <color indexed="81"/>
            <rFont val="Tahoma"/>
            <family val="2"/>
          </rPr>
          <t>Sonia Esperanza Casas Merchan:</t>
        </r>
        <r>
          <rPr>
            <sz val="9"/>
            <color indexed="81"/>
            <rFont val="Tahoma"/>
            <family val="2"/>
          </rPr>
          <t xml:space="preserve">
En SINERGIA no hay dato</t>
        </r>
      </text>
    </comment>
    <comment ref="V74" authorId="0" shapeId="0" xr:uid="{32373936-6D81-4997-BB4F-251AA889E412}">
      <text>
        <r>
          <rPr>
            <b/>
            <sz val="9"/>
            <color indexed="81"/>
            <rFont val="Tahoma"/>
            <family val="2"/>
          </rPr>
          <t>Sonia Esperanza Casas Merchan:</t>
        </r>
        <r>
          <rPr>
            <sz val="9"/>
            <color indexed="81"/>
            <rFont val="Tahoma"/>
            <family val="2"/>
          </rPr>
          <t xml:space="preserve">
En SINERGIA no hay dATO</t>
        </r>
      </text>
    </comment>
    <comment ref="A75" authorId="1" shapeId="0" xr:uid="{04E106A0-EF74-4943-BD09-9CAE1EDEFCF8}">
      <text>
        <r>
          <rPr>
            <b/>
            <sz val="9"/>
            <color indexed="81"/>
            <rFont val="Tahoma"/>
            <family val="2"/>
          </rPr>
          <t>SoniaCasas:</t>
        </r>
        <r>
          <rPr>
            <sz val="9"/>
            <color indexed="81"/>
            <rFont val="Tahoma"/>
            <family val="2"/>
          </rPr>
          <t xml:space="preserve">
no es de PND es de CONPES</t>
        </r>
      </text>
    </comment>
    <comment ref="A76" authorId="0" shapeId="0" xr:uid="{07618E59-7261-4CA2-8FA0-549592B67F4A}">
      <text>
        <r>
          <rPr>
            <b/>
            <sz val="9"/>
            <color indexed="81"/>
            <rFont val="Tahoma"/>
            <family val="2"/>
          </rPr>
          <t>Sonia Esperanza Casas Merchan:</t>
        </r>
        <r>
          <rPr>
            <sz val="9"/>
            <color indexed="81"/>
            <rFont val="Tahoma"/>
            <family val="2"/>
          </rPr>
          <t xml:space="preserve">
NO VISIBLE EN SINERGIA</t>
        </r>
      </text>
    </comment>
    <comment ref="A77" authorId="0" shapeId="0" xr:uid="{D65DF69C-A294-4D3D-941D-44C0DA284A99}">
      <text>
        <r>
          <rPr>
            <b/>
            <sz val="9"/>
            <color indexed="81"/>
            <rFont val="Tahoma"/>
            <family val="2"/>
          </rPr>
          <t xml:space="preserve">NO VISIBLE EN SINERGIA </t>
        </r>
        <r>
          <rPr>
            <sz val="9"/>
            <color indexed="81"/>
            <rFont val="Tahoma"/>
            <family val="2"/>
          </rPr>
          <t>Se cambió de nombre; antes era
Porcentaje de niños y niñas atendidos en educación inicial en el marco de la atención integral que cuentan con las 8 atenciones priorizadas</t>
        </r>
      </text>
    </comment>
    <comment ref="A78" authorId="0" shapeId="0" xr:uid="{1A3BA0FB-726F-4094-8733-E966AEF28320}">
      <text>
        <r>
          <rPr>
            <b/>
            <sz val="9"/>
            <color indexed="81"/>
            <rFont val="Tahoma"/>
            <family val="2"/>
          </rPr>
          <t>Sonia Esperanza Casas Merchan:</t>
        </r>
        <r>
          <rPr>
            <sz val="9"/>
            <color indexed="81"/>
            <rFont val="Tahoma"/>
            <family val="2"/>
          </rPr>
          <t xml:space="preserve">
NO VISIBLE EN SINERGIA</t>
        </r>
      </text>
    </comment>
    <comment ref="A79" authorId="0" shapeId="0" xr:uid="{054FA558-57BF-4128-BC1E-49BB06AEBC59}">
      <text>
        <r>
          <rPr>
            <b/>
            <sz val="9"/>
            <color indexed="81"/>
            <rFont val="Tahoma"/>
            <family val="2"/>
          </rPr>
          <t>Sonia Esperanza Casas Merchan:</t>
        </r>
        <r>
          <rPr>
            <sz val="9"/>
            <color indexed="81"/>
            <rFont val="Tahoma"/>
            <family val="2"/>
          </rPr>
          <t xml:space="preserve">
NO VISIBLE EN SINERGIA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SoniaCasas</author>
  </authors>
  <commentList>
    <comment ref="J15" authorId="0" shapeId="0" xr:uid="{00000000-0006-0000-0500-000001000000}">
      <text>
        <r>
          <rPr>
            <b/>
            <sz val="9"/>
            <color indexed="81"/>
            <rFont val="Tahoma"/>
            <family val="2"/>
          </rPr>
          <t>Sonia Esperanza Casas Merchan:</t>
        </r>
        <r>
          <rPr>
            <sz val="9"/>
            <color indexed="81"/>
            <rFont val="Tahoma"/>
            <family val="2"/>
          </rPr>
          <t xml:space="preserve">
La MC inicial es del 86,31%, se solicitó reducción, fue aprobada por DNP en 2015 y no ha sido aplicada en SINERGIA</t>
        </r>
      </text>
    </comment>
    <comment ref="K15" authorId="0" shapeId="0" xr:uid="{00000000-0006-0000-0500-000002000000}">
      <text>
        <r>
          <rPr>
            <b/>
            <sz val="9"/>
            <color indexed="81"/>
            <rFont val="Tahoma"/>
            <family val="2"/>
          </rPr>
          <t>Sonia Esperanza Casas Merchan:</t>
        </r>
        <r>
          <rPr>
            <sz val="9"/>
            <color indexed="81"/>
            <rFont val="Tahoma"/>
            <family val="2"/>
          </rPr>
          <t xml:space="preserve">
La LB inicial era de 71,7% y se solicitó ajustar a 74,47%, aprobado por DNP en 2015 y sin aplicar en SINERGIA</t>
        </r>
      </text>
    </comment>
    <comment ref="L15" authorId="0" shapeId="0" xr:uid="{00000000-0006-0000-0500-000003000000}">
      <text>
        <r>
          <rPr>
            <b/>
            <sz val="9"/>
            <color indexed="81"/>
            <rFont val="Tahoma"/>
            <family val="2"/>
          </rPr>
          <t>Sonia Esperanza Casas Merchan:</t>
        </r>
        <r>
          <rPr>
            <sz val="9"/>
            <color indexed="81"/>
            <rFont val="Tahoma"/>
            <family val="2"/>
          </rPr>
          <t xml:space="preserve">
En SINERGIA no hay dato</t>
        </r>
      </text>
    </comment>
    <comment ref="O15" authorId="0" shapeId="0" xr:uid="{00000000-0006-0000-0500-000004000000}">
      <text>
        <r>
          <rPr>
            <b/>
            <sz val="9"/>
            <color indexed="81"/>
            <rFont val="Tahoma"/>
            <family val="2"/>
          </rPr>
          <t>Sonia Esperanza Casas Merchan:</t>
        </r>
        <r>
          <rPr>
            <sz val="9"/>
            <color indexed="81"/>
            <rFont val="Tahoma"/>
            <family val="2"/>
          </rPr>
          <t xml:space="preserve">
En SINERGIA no se identifican datos</t>
        </r>
      </text>
    </comment>
    <comment ref="U15" authorId="0" shapeId="0" xr:uid="{00000000-0006-0000-0500-000005000000}">
      <text>
        <r>
          <rPr>
            <b/>
            <sz val="9"/>
            <color indexed="81"/>
            <rFont val="Tahoma"/>
            <family val="2"/>
          </rPr>
          <t>Sonia Esperanza Casas Merchan:</t>
        </r>
        <r>
          <rPr>
            <sz val="9"/>
            <color indexed="81"/>
            <rFont val="Tahoma"/>
            <family val="2"/>
          </rPr>
          <t xml:space="preserve">
En SINERGIA no se identifican datos</t>
        </r>
      </text>
    </comment>
    <comment ref="AB15" authorId="0" shapeId="0" xr:uid="{00000000-0006-0000-0500-000006000000}">
      <text>
        <r>
          <rPr>
            <b/>
            <sz val="9"/>
            <color indexed="81"/>
            <rFont val="Tahoma"/>
            <family val="2"/>
          </rPr>
          <t>Sonia Esperanza Casas Merchan:</t>
        </r>
        <r>
          <rPr>
            <sz val="9"/>
            <color indexed="81"/>
            <rFont val="Tahoma"/>
            <family val="2"/>
          </rPr>
          <t xml:space="preserve">
En SINERGIA no hay dato</t>
        </r>
      </text>
    </comment>
    <comment ref="J16" authorId="0" shapeId="0" xr:uid="{00000000-0006-0000-0500-000007000000}">
      <text>
        <r>
          <rPr>
            <b/>
            <sz val="9"/>
            <color indexed="81"/>
            <rFont val="Tahoma"/>
            <family val="2"/>
          </rPr>
          <t>Sonia Esperanza Casas Merchan:</t>
        </r>
        <r>
          <rPr>
            <sz val="9"/>
            <color indexed="81"/>
            <rFont val="Tahoma"/>
            <family val="2"/>
          </rPr>
          <t xml:space="preserve">
La MC inicial es de 84,33%; se solicitó reducción, fue autorizada por DNP y no se ha aplicado en SINERGIA</t>
        </r>
      </text>
    </comment>
    <comment ref="K16" authorId="0" shapeId="0" xr:uid="{00000000-0006-0000-0500-000008000000}">
      <text>
        <r>
          <rPr>
            <b/>
            <sz val="9"/>
            <color indexed="81"/>
            <rFont val="Tahoma"/>
            <family val="2"/>
          </rPr>
          <t>Sonia Esperanza Casas Merchan:</t>
        </r>
        <r>
          <rPr>
            <sz val="9"/>
            <color indexed="81"/>
            <rFont val="Tahoma"/>
            <family val="2"/>
          </rPr>
          <t xml:space="preserve">
La LB inicial era de 73% y se solicitó ajuste a 60,74% aprobado por DNP en 2015 y pendiente por aplicar en SINERGIA</t>
        </r>
      </text>
    </comment>
    <comment ref="L16" authorId="0" shapeId="0" xr:uid="{00000000-0006-0000-0500-000009000000}">
      <text>
        <r>
          <rPr>
            <b/>
            <sz val="9"/>
            <color indexed="81"/>
            <rFont val="Tahoma"/>
            <family val="2"/>
          </rPr>
          <t>Sonia Esperanza Casas Merchan:</t>
        </r>
        <r>
          <rPr>
            <sz val="9"/>
            <color indexed="81"/>
            <rFont val="Tahoma"/>
            <family val="2"/>
          </rPr>
          <t xml:space="preserve">
En SINERGIA aparece 77,54%; de conformidad con la reducción, la ficha se ajustó a 70,70%</t>
        </r>
      </text>
    </comment>
    <comment ref="O16" authorId="0" shapeId="0" xr:uid="{00000000-0006-0000-0500-00000A000000}">
      <text>
        <r>
          <rPr>
            <b/>
            <sz val="9"/>
            <color indexed="81"/>
            <rFont val="Tahoma"/>
            <family val="2"/>
          </rPr>
          <t>Sonia Esperanza Casas Merchan:</t>
        </r>
        <r>
          <rPr>
            <sz val="9"/>
            <color indexed="81"/>
            <rFont val="Tahoma"/>
            <family val="2"/>
          </rPr>
          <t xml:space="preserve">
La LB inicial era de 79,80%, en el reajuste aprobado por DNP la meta 2016 se ajustaría a 70,50%</t>
        </r>
      </text>
    </comment>
    <comment ref="U16" authorId="0" shapeId="0" xr:uid="{00000000-0006-0000-0500-00000B000000}">
      <text>
        <r>
          <rPr>
            <b/>
            <sz val="9"/>
            <color indexed="81"/>
            <rFont val="Tahoma"/>
            <family val="2"/>
          </rPr>
          <t>Sonia Esperanza Casas Merchan:</t>
        </r>
        <r>
          <rPr>
            <sz val="9"/>
            <color indexed="81"/>
            <rFont val="Tahoma"/>
            <family val="2"/>
          </rPr>
          <t xml:space="preserve">
En SINERGIA aparece como 82,07%, pero al aprobarse la reducción de la MC debe ajustarse a 70,93%</t>
        </r>
      </text>
    </comment>
    <comment ref="J17" authorId="0" shapeId="0" xr:uid="{00000000-0006-0000-0500-00000C000000}">
      <text>
        <r>
          <rPr>
            <b/>
            <sz val="9"/>
            <color indexed="81"/>
            <rFont val="Tahoma"/>
            <family val="2"/>
          </rPr>
          <t>Sonia Esperanza Casas Merchan:</t>
        </r>
        <r>
          <rPr>
            <sz val="9"/>
            <color indexed="81"/>
            <rFont val="Tahoma"/>
            <family val="2"/>
          </rPr>
          <t xml:space="preserve">
Esta meta tiene solicitud de ajuste  de 135.694 a 113.658, aprobada por DNP  en 2015 y pendiente por aplicar.</t>
        </r>
      </text>
    </comment>
    <comment ref="L17" authorId="0" shapeId="0" xr:uid="{00000000-0006-0000-0500-00000D000000}">
      <text>
        <r>
          <rPr>
            <b/>
            <sz val="9"/>
            <color indexed="81"/>
            <rFont val="Tahoma"/>
            <family val="2"/>
          </rPr>
          <t>Sonia Esperanza Casas Merchan:</t>
        </r>
        <r>
          <rPr>
            <sz val="9"/>
            <color indexed="81"/>
            <rFont val="Tahoma"/>
            <family val="2"/>
          </rPr>
          <t xml:space="preserve">
En SINERGIA aparece como 120.180, pero al aprobarse la reducción, debe ajustarse a 110.658</t>
        </r>
      </text>
    </comment>
    <comment ref="O17" authorId="0" shapeId="0" xr:uid="{00000000-0006-0000-0500-00000E000000}">
      <text>
        <r>
          <rPr>
            <b/>
            <sz val="9"/>
            <color indexed="81"/>
            <rFont val="Tahoma"/>
            <family val="2"/>
          </rPr>
          <t>Sonia Esperanza Casas Merchan:</t>
        </r>
        <r>
          <rPr>
            <sz val="9"/>
            <color indexed="81"/>
            <rFont val="Tahoma"/>
            <family val="2"/>
          </rPr>
          <t xml:space="preserve">
En SINERGIA aparece como 125.441, pero al aprobarse la reducción se ajusta la meta a 111.658</t>
        </r>
      </text>
    </comment>
    <comment ref="U17" authorId="0" shapeId="0" xr:uid="{00000000-0006-0000-0500-00000F000000}">
      <text>
        <r>
          <rPr>
            <b/>
            <sz val="9"/>
            <color indexed="81"/>
            <rFont val="Tahoma"/>
            <family val="2"/>
          </rPr>
          <t>Sonia Esperanza Casas Merchan:</t>
        </r>
        <r>
          <rPr>
            <sz val="9"/>
            <color indexed="81"/>
            <rFont val="Tahoma"/>
            <family val="2"/>
          </rPr>
          <t xml:space="preserve">
En SINERGIA aparece como 130.703, pero al aprobarse la reducción de MC se ajusta a 112.658</t>
        </r>
      </text>
    </comment>
    <comment ref="AB17" authorId="0" shapeId="0" xr:uid="{00000000-0006-0000-0500-000010000000}">
      <text>
        <r>
          <rPr>
            <b/>
            <sz val="9"/>
            <color indexed="81"/>
            <rFont val="Tahoma"/>
            <family val="2"/>
          </rPr>
          <t>Sonia Esperanza Casas Merchan:</t>
        </r>
        <r>
          <rPr>
            <sz val="9"/>
            <color indexed="81"/>
            <rFont val="Tahoma"/>
            <family val="2"/>
          </rPr>
          <t xml:space="preserve">
La M2018 está en 135.964 en SINERGIA; con el ajuste pasaría a 113.658</t>
        </r>
      </text>
    </comment>
    <comment ref="K19" authorId="0" shapeId="0" xr:uid="{00000000-0006-0000-0500-000011000000}">
      <text>
        <r>
          <rPr>
            <b/>
            <sz val="9"/>
            <color indexed="81"/>
            <rFont val="Tahoma"/>
            <family val="2"/>
          </rPr>
          <t>Sonia Esperanza Casas Merchan:</t>
        </r>
        <r>
          <rPr>
            <sz val="9"/>
            <color indexed="81"/>
            <rFont val="Tahoma"/>
            <family val="2"/>
          </rPr>
          <t xml:space="preserve">
La LB inicial era de 73,31% y se solicito ajuste a 75,72% aprobado por DNP pero pendiente por aplicar en SINERGIA</t>
        </r>
      </text>
    </comment>
    <comment ref="K20" authorId="0" shapeId="0" xr:uid="{00000000-0006-0000-0500-000012000000}">
      <text>
        <r>
          <rPr>
            <b/>
            <sz val="9"/>
            <color indexed="81"/>
            <rFont val="Tahoma"/>
            <family val="2"/>
          </rPr>
          <t>Sonia Esperanza Casas Merchan:</t>
        </r>
        <r>
          <rPr>
            <sz val="9"/>
            <color indexed="81"/>
            <rFont val="Tahoma"/>
            <family val="2"/>
          </rPr>
          <t xml:space="preserve">
La LB inicial era de 404.056 y se solicitó ajuste a 362.740 aprobado por DNP y pendiente por ajustar en SINERGIA</t>
        </r>
      </text>
    </comment>
    <comment ref="K26" authorId="0" shapeId="0" xr:uid="{00000000-0006-0000-0500-000013000000}">
      <text>
        <r>
          <rPr>
            <b/>
            <sz val="9"/>
            <color indexed="81"/>
            <rFont val="Tahoma"/>
            <family val="2"/>
          </rPr>
          <t>Sonia Esperanza Casas Merchan:</t>
        </r>
        <r>
          <rPr>
            <sz val="9"/>
            <color indexed="81"/>
            <rFont val="Tahoma"/>
            <family val="2"/>
          </rPr>
          <t xml:space="preserve">
La LB inicial era de 72,86% y se solicitó ajuste a 72,76% aprobado por DNP en 2015 pero pendiente por aplicar en SINERGIA</t>
        </r>
      </text>
    </comment>
    <comment ref="J27" authorId="0" shapeId="0" xr:uid="{00000000-0006-0000-0500-000014000000}">
      <text>
        <r>
          <rPr>
            <b/>
            <sz val="9"/>
            <color indexed="81"/>
            <rFont val="Tahoma"/>
            <family val="2"/>
          </rPr>
          <t>Sonia Esperanza Casas Merchan:</t>
        </r>
        <r>
          <rPr>
            <sz val="9"/>
            <color indexed="81"/>
            <rFont val="Tahoma"/>
            <family val="2"/>
          </rPr>
          <t xml:space="preserve">
La MC inicial era de 582.001; se solicitó ajuste a 500.798 NO SE HA DADO RESPUESTA DNP</t>
        </r>
      </text>
    </comment>
    <comment ref="K27" authorId="0" shapeId="0" xr:uid="{00000000-0006-0000-0500-000015000000}">
      <text>
        <r>
          <rPr>
            <b/>
            <sz val="9"/>
            <color indexed="81"/>
            <rFont val="Tahoma"/>
            <family val="2"/>
          </rPr>
          <t>Sonia Esperanza Casas Merchan:</t>
        </r>
        <r>
          <rPr>
            <sz val="9"/>
            <color indexed="81"/>
            <rFont val="Tahoma"/>
            <family val="2"/>
          </rPr>
          <t xml:space="preserve">
La LB inicial era 492.798 y se solicitó ajuste a 432.372. NO SE HA TENIDO RESPUESTA POR DNP- Pendiente aplicar</t>
        </r>
      </text>
    </comment>
    <comment ref="AB27" authorId="0" shapeId="0" xr:uid="{00000000-0006-0000-0500-000016000000}">
      <text>
        <r>
          <rPr>
            <b/>
            <sz val="9"/>
            <color indexed="81"/>
            <rFont val="Tahoma"/>
            <family val="2"/>
          </rPr>
          <t>Sonia Esperanza Casas Merchan:</t>
        </r>
        <r>
          <rPr>
            <sz val="9"/>
            <color indexed="81"/>
            <rFont val="Tahoma"/>
            <family val="2"/>
          </rPr>
          <t xml:space="preserve">
De aprobarse el ajuste por DNP cambiar{ia a 500.798</t>
        </r>
      </text>
    </comment>
    <comment ref="J29" authorId="0" shapeId="0" xr:uid="{00000000-0006-0000-0500-000017000000}">
      <text>
        <r>
          <rPr>
            <b/>
            <sz val="9"/>
            <color indexed="81"/>
            <rFont val="Tahoma"/>
            <family val="2"/>
          </rPr>
          <t>Sonia Esperanza Casas Merchan:</t>
        </r>
        <r>
          <rPr>
            <sz val="9"/>
            <color indexed="81"/>
            <rFont val="Tahoma"/>
            <family val="2"/>
          </rPr>
          <t xml:space="preserve">
se solicitó ajuste de 457.081 a 553.408, no respondido ni ajustado en Sinergia</t>
        </r>
      </text>
    </comment>
    <comment ref="K29" authorId="0" shapeId="0" xr:uid="{00000000-0006-0000-0500-000018000000}">
      <text>
        <r>
          <rPr>
            <b/>
            <sz val="9"/>
            <color indexed="81"/>
            <rFont val="Tahoma"/>
            <family val="2"/>
          </rPr>
          <t>Sonia Esperanza Casas Merchan:</t>
        </r>
        <r>
          <rPr>
            <sz val="9"/>
            <color indexed="81"/>
            <rFont val="Tahoma"/>
            <family val="2"/>
          </rPr>
          <t xml:space="preserve">
La LB inicial era 659.000 y se solicitó ajustar a 690.512, aprobado por DNP en 2015 y pendiente por aplicar en SINERGIA</t>
        </r>
      </text>
    </comment>
    <comment ref="L29" authorId="0" shapeId="0" xr:uid="{00000000-0006-0000-0500-000019000000}">
      <text>
        <r>
          <rPr>
            <b/>
            <sz val="9"/>
            <color indexed="81"/>
            <rFont val="Tahoma"/>
            <family val="2"/>
          </rPr>
          <t>Sonia Esperanza Casas Merchan:</t>
        </r>
        <r>
          <rPr>
            <sz val="9"/>
            <color indexed="81"/>
            <rFont val="Tahoma"/>
            <family val="2"/>
          </rPr>
          <t xml:space="preserve">
En SINERGIA no hay dato</t>
        </r>
      </text>
    </comment>
    <comment ref="O29" authorId="0" shapeId="0" xr:uid="{00000000-0006-0000-0500-00001A000000}">
      <text>
        <r>
          <rPr>
            <b/>
            <sz val="9"/>
            <color indexed="81"/>
            <rFont val="Tahoma"/>
            <family val="2"/>
          </rPr>
          <t>Sonia Esperanza Casas Merchan:</t>
        </r>
        <r>
          <rPr>
            <sz val="9"/>
            <color indexed="81"/>
            <rFont val="Tahoma"/>
            <family val="2"/>
          </rPr>
          <t xml:space="preserve">
En SINERGIA no se identifican datos</t>
        </r>
      </text>
    </comment>
    <comment ref="U29" authorId="0" shapeId="0" xr:uid="{00000000-0006-0000-0500-00001B000000}">
      <text>
        <r>
          <rPr>
            <b/>
            <sz val="9"/>
            <color indexed="81"/>
            <rFont val="Tahoma"/>
            <family val="2"/>
          </rPr>
          <t>Sonia Esperanza Casas Merchan:</t>
        </r>
        <r>
          <rPr>
            <sz val="9"/>
            <color indexed="81"/>
            <rFont val="Tahoma"/>
            <family val="2"/>
          </rPr>
          <t xml:space="preserve">
En SINERGIA no se identifican datos</t>
        </r>
      </text>
    </comment>
    <comment ref="AB29" authorId="0" shapeId="0" xr:uid="{00000000-0006-0000-0500-00001C000000}">
      <text>
        <r>
          <rPr>
            <b/>
            <sz val="9"/>
            <color indexed="81"/>
            <rFont val="Tahoma"/>
            <family val="2"/>
          </rPr>
          <t>Sonia Esperanza Casas Merchan:</t>
        </r>
        <r>
          <rPr>
            <sz val="9"/>
            <color indexed="81"/>
            <rFont val="Tahoma"/>
            <family val="2"/>
          </rPr>
          <t xml:space="preserve">
En SINERGIA no hay dato</t>
        </r>
      </text>
    </comment>
    <comment ref="J31" authorId="0" shapeId="0" xr:uid="{00000000-0006-0000-0500-00001D000000}">
      <text>
        <r>
          <rPr>
            <b/>
            <sz val="9"/>
            <color indexed="81"/>
            <rFont val="Tahoma"/>
            <family val="2"/>
          </rPr>
          <t>Sonia Esperanza Casas Merchan:</t>
        </r>
        <r>
          <rPr>
            <sz val="9"/>
            <color indexed="81"/>
            <rFont val="Tahoma"/>
            <family val="2"/>
          </rPr>
          <t xml:space="preserve">
En SINERGIA aparece como 71,07% pero por datos en serie debe ajustarse a 57,79%</t>
        </r>
      </text>
    </comment>
    <comment ref="E38" authorId="1" shapeId="0" xr:uid="{00000000-0006-0000-0500-00001E000000}">
      <text>
        <r>
          <rPr>
            <b/>
            <sz val="9"/>
            <color indexed="81"/>
            <rFont val="Tahoma"/>
            <family val="2"/>
          </rPr>
          <t>SoniaCasas:</t>
        </r>
        <r>
          <rPr>
            <sz val="9"/>
            <color indexed="81"/>
            <rFont val="Tahoma"/>
            <family val="2"/>
          </rPr>
          <t xml:space="preserve">
En el TC Presidente figura como Número de docentes por tutor (PTA)</t>
        </r>
      </text>
    </comment>
    <comment ref="E40" authorId="1" shapeId="0" xr:uid="{00000000-0006-0000-0500-00001F000000}">
      <text>
        <r>
          <rPr>
            <b/>
            <sz val="9"/>
            <color indexed="81"/>
            <rFont val="Tahoma"/>
            <family val="2"/>
          </rPr>
          <t>SoniaCasas:</t>
        </r>
        <r>
          <rPr>
            <sz val="9"/>
            <color indexed="81"/>
            <rFont val="Tahoma"/>
            <family val="2"/>
          </rPr>
          <t xml:space="preserve">
Se acompaña de otro denominado Docentes o aspirantes docentes beneficiados con recursos de la nación para mejorar su nivel de ofrmación a nivel de postgrado.</t>
        </r>
      </text>
    </comment>
    <comment ref="L40" authorId="1" shapeId="0" xr:uid="{00000000-0006-0000-0500-000020000000}">
      <text>
        <r>
          <rPr>
            <b/>
            <sz val="9"/>
            <color indexed="81"/>
            <rFont val="Tahoma"/>
            <family val="2"/>
          </rPr>
          <t>SoniaCasas:</t>
        </r>
        <r>
          <rPr>
            <sz val="9"/>
            <color indexed="81"/>
            <rFont val="Tahoma"/>
            <family val="2"/>
          </rPr>
          <t xml:space="preserve">
meta en SINERGIA del 32%</t>
        </r>
      </text>
    </comment>
    <comment ref="K42" authorId="0" shapeId="0" xr:uid="{00000000-0006-0000-0500-000021000000}">
      <text>
        <r>
          <rPr>
            <b/>
            <sz val="9"/>
            <color indexed="81"/>
            <rFont val="Tahoma"/>
            <family val="2"/>
          </rPr>
          <t>Sonia Esperanza Casas Merchan:</t>
        </r>
        <r>
          <rPr>
            <sz val="9"/>
            <color indexed="81"/>
            <rFont val="Tahoma"/>
            <family val="2"/>
          </rPr>
          <t xml:space="preserve">
La LB inicial era de 4.293; se solicitó ajustar a 5.703- NO SE HA RECIBIDO RESPUESTA OFICIAL DNP- pendiente por aplicar en SINERGIA</t>
        </r>
      </text>
    </comment>
    <comment ref="J43" authorId="0" shapeId="0" xr:uid="{00000000-0006-0000-0500-000022000000}">
      <text>
        <r>
          <rPr>
            <b/>
            <sz val="9"/>
            <color indexed="81"/>
            <rFont val="Tahoma"/>
            <family val="2"/>
          </rPr>
          <t>Sonia Esperanza Casas Merchan:</t>
        </r>
        <r>
          <rPr>
            <sz val="9"/>
            <color indexed="81"/>
            <rFont val="Tahoma"/>
            <family val="2"/>
          </rPr>
          <t xml:space="preserve">
la meta inicial es de 11,96% y no 12%
lb 9,4%</t>
        </r>
      </text>
    </comment>
    <comment ref="K43" authorId="0" shapeId="0" xr:uid="{00000000-0006-0000-0500-000023000000}">
      <text>
        <r>
          <rPr>
            <b/>
            <sz val="9"/>
            <color indexed="81"/>
            <rFont val="Tahoma"/>
            <family val="2"/>
          </rPr>
          <t>Sonia Esperanza Casas Merchan:</t>
        </r>
        <r>
          <rPr>
            <sz val="9"/>
            <color indexed="81"/>
            <rFont val="Tahoma"/>
            <family val="2"/>
          </rPr>
          <t xml:space="preserve">
Es 9,4% y no 94% como aparece en SINERGIA</t>
        </r>
      </text>
    </comment>
    <comment ref="AB43" authorId="0" shapeId="0" xr:uid="{00000000-0006-0000-0500-000024000000}">
      <text>
        <r>
          <rPr>
            <b/>
            <sz val="9"/>
            <color indexed="81"/>
            <rFont val="Tahoma"/>
            <family val="2"/>
          </rPr>
          <t>Sonia Esperanza Casas Merchan:</t>
        </r>
        <r>
          <rPr>
            <sz val="9"/>
            <color indexed="81"/>
            <rFont val="Tahoma"/>
            <family val="2"/>
          </rPr>
          <t xml:space="preserve">
En sinergia aparece como 12% debe ajustarse a 11,96%</t>
        </r>
      </text>
    </comment>
    <comment ref="E59" authorId="1" shapeId="0" xr:uid="{00000000-0006-0000-0500-000025000000}">
      <text>
        <r>
          <rPr>
            <b/>
            <sz val="9"/>
            <color indexed="81"/>
            <rFont val="Tahoma"/>
            <family val="2"/>
          </rPr>
          <t>SoniaCasas:</t>
        </r>
        <r>
          <rPr>
            <sz val="9"/>
            <color indexed="81"/>
            <rFont val="Tahoma"/>
            <family val="2"/>
          </rPr>
          <t xml:space="preserve">
En el TC Presidente figura como Número de departamentos con tasa de cobertura en Educación Superior por encima del 20%</t>
        </r>
      </text>
    </comment>
    <comment ref="E61" authorId="1" shapeId="0" xr:uid="{00000000-0006-0000-0500-000026000000}">
      <text>
        <r>
          <rPr>
            <b/>
            <sz val="9"/>
            <color indexed="81"/>
            <rFont val="Tahoma"/>
            <family val="2"/>
          </rPr>
          <t>SoniaCasas:
En el TC Presidente figura como Créditos-Beca otorgados para estudios en educación superior</t>
        </r>
      </text>
    </comment>
    <comment ref="K61" authorId="0" shapeId="0" xr:uid="{00000000-0006-0000-0500-000027000000}">
      <text>
        <r>
          <rPr>
            <b/>
            <sz val="9"/>
            <color indexed="81"/>
            <rFont val="Tahoma"/>
            <family val="2"/>
          </rPr>
          <t>Sonia Esperanza Casas Merchan:</t>
        </r>
        <r>
          <rPr>
            <sz val="9"/>
            <color indexed="81"/>
            <rFont val="Tahoma"/>
            <family val="2"/>
          </rPr>
          <t xml:space="preserve">
La LB inicial es de 23.067, pero se solicitó ajuste a 26.889 aprobado por DNP sin aplicar; sin embargo, el concepto de DNP es de inviable cambio LB</t>
        </r>
      </text>
    </comment>
    <comment ref="M61" authorId="1" shapeId="0" xr:uid="{00000000-0006-0000-0500-000028000000}">
      <text>
        <r>
          <rPr>
            <b/>
            <sz val="9"/>
            <color indexed="81"/>
            <rFont val="Tahoma"/>
            <family val="2"/>
          </rPr>
          <t>SoniaCasas:</t>
        </r>
        <r>
          <rPr>
            <sz val="9"/>
            <color indexed="81"/>
            <rFont val="Tahoma"/>
            <family val="2"/>
          </rPr>
          <t xml:space="preserve">
en sinergia 13.498</t>
        </r>
      </text>
    </comment>
    <comment ref="O61" authorId="0" shapeId="0" xr:uid="{00000000-0006-0000-0500-000029000000}">
      <text>
        <r>
          <rPr>
            <b/>
            <sz val="9"/>
            <color indexed="81"/>
            <rFont val="Tahoma"/>
            <family val="2"/>
          </rPr>
          <t>Sonia Esperanza Casas Merchan:</t>
        </r>
        <r>
          <rPr>
            <sz val="9"/>
            <color indexed="81"/>
            <rFont val="Tahoma"/>
            <family val="2"/>
          </rPr>
          <t xml:space="preserve">
La meta está en 37.614 y se solicitó ajustar porque la suma de las metas no da 125.000</t>
        </r>
      </text>
    </comment>
    <comment ref="Q62" authorId="0" shapeId="0" xr:uid="{00000000-0006-0000-0500-00002A000000}">
      <text>
        <r>
          <rPr>
            <b/>
            <sz val="9"/>
            <color indexed="81"/>
            <rFont val="Tahoma"/>
            <family val="2"/>
          </rPr>
          <t>Sonia Esperanza Casas Merchan:</t>
        </r>
        <r>
          <rPr>
            <sz val="9"/>
            <color indexed="81"/>
            <rFont val="Tahoma"/>
            <family val="2"/>
          </rPr>
          <t xml:space="preserve">
En sinergia está como 43,70%</t>
        </r>
      </text>
    </comment>
    <comment ref="K65" authorId="0" shapeId="0" xr:uid="{00000000-0006-0000-0500-00002B000000}">
      <text>
        <r>
          <rPr>
            <b/>
            <sz val="9"/>
            <color indexed="81"/>
            <rFont val="Tahoma"/>
            <family val="2"/>
          </rPr>
          <t>Sonia Esperanza Casas Merchan:</t>
        </r>
        <r>
          <rPr>
            <sz val="9"/>
            <color indexed="81"/>
            <rFont val="Tahoma"/>
            <family val="2"/>
          </rPr>
          <t xml:space="preserve">
La LB inicial eraa de 157.597 y se solicitó ajuste a 82.273, aprobado por DNP pero sin aplicar en SINERGIA</t>
        </r>
      </text>
    </comment>
    <comment ref="K66" authorId="0" shapeId="0" xr:uid="{00000000-0006-0000-0500-00002C000000}">
      <text>
        <r>
          <rPr>
            <b/>
            <sz val="9"/>
            <color indexed="81"/>
            <rFont val="Tahoma"/>
            <family val="2"/>
          </rPr>
          <t>Sonia Esperanza Casas Merchan:</t>
        </r>
        <r>
          <rPr>
            <sz val="9"/>
            <color indexed="81"/>
            <rFont val="Tahoma"/>
            <family val="2"/>
          </rPr>
          <t xml:space="preserve">
La LB inicial era de 13.429 y se solicitó ajustar a 14.623, aprobado por NDP en 2015 pero sin apliar en SINERGIA</t>
        </r>
      </text>
    </comment>
    <comment ref="J67" authorId="0" shapeId="0" xr:uid="{00000000-0006-0000-0500-00002D000000}">
      <text>
        <r>
          <rPr>
            <b/>
            <sz val="9"/>
            <color indexed="81"/>
            <rFont val="Tahoma"/>
            <family val="2"/>
          </rPr>
          <t>Sonia Esperanza Casas Merchan:</t>
        </r>
        <r>
          <rPr>
            <sz val="9"/>
            <color indexed="81"/>
            <rFont val="Tahoma"/>
            <family val="2"/>
          </rPr>
          <t xml:space="preserve">
Esta meta tiene solicitud de ajuste de 4.004 a 2000, aprobada por DNP y pendiente por aplicar en SINERGIA</t>
        </r>
      </text>
    </comment>
    <comment ref="AB67" authorId="0" shapeId="0" xr:uid="{00000000-0006-0000-0500-00002E000000}">
      <text>
        <r>
          <rPr>
            <b/>
            <sz val="9"/>
            <color indexed="81"/>
            <rFont val="Tahoma"/>
            <family val="2"/>
          </rPr>
          <t>Sonia Esperanza Casas Merchan:</t>
        </r>
        <r>
          <rPr>
            <sz val="9"/>
            <color indexed="81"/>
            <rFont val="Tahoma"/>
            <family val="2"/>
          </rPr>
          <t xml:space="preserve">
Esta meta no coincide con la MC ajustada </t>
        </r>
      </text>
    </comment>
    <comment ref="E68" authorId="1" shapeId="0" xr:uid="{00000000-0006-0000-0500-00002F000000}">
      <text>
        <r>
          <rPr>
            <b/>
            <sz val="9"/>
            <color indexed="81"/>
            <rFont val="Tahoma"/>
            <family val="2"/>
          </rPr>
          <t>SoniaCasas:</t>
        </r>
        <r>
          <rPr>
            <sz val="9"/>
            <color indexed="81"/>
            <rFont val="Tahoma"/>
            <family val="2"/>
          </rPr>
          <t xml:space="preserve">
En el TC Presidente figura como Becas otorgadas mediante programa Ser Pilo Paga</t>
        </r>
      </text>
    </comment>
    <comment ref="J74" authorId="0" shapeId="0" xr:uid="{00000000-0006-0000-0500-000030000000}">
      <text>
        <r>
          <rPr>
            <b/>
            <sz val="9"/>
            <color indexed="81"/>
            <rFont val="Tahoma"/>
            <family val="2"/>
          </rPr>
          <t>Sonia Esperanza Casas Merchan:</t>
        </r>
        <r>
          <rPr>
            <sz val="9"/>
            <color indexed="81"/>
            <rFont val="Tahoma"/>
            <family val="2"/>
          </rPr>
          <t xml:space="preserve">
En SINERGIA no hay datos</t>
        </r>
      </text>
    </comment>
    <comment ref="L74" authorId="0" shapeId="0" xr:uid="{00000000-0006-0000-0500-000031000000}">
      <text>
        <r>
          <rPr>
            <b/>
            <sz val="9"/>
            <color indexed="81"/>
            <rFont val="Tahoma"/>
            <family val="2"/>
          </rPr>
          <t>Sonia Esperanza Casas Merchan:</t>
        </r>
        <r>
          <rPr>
            <sz val="9"/>
            <color indexed="81"/>
            <rFont val="Tahoma"/>
            <family val="2"/>
          </rPr>
          <t xml:space="preserve">
En SINERGIA no hay dato disponible</t>
        </r>
      </text>
    </comment>
    <comment ref="O74" authorId="0" shapeId="0" xr:uid="{00000000-0006-0000-0500-000032000000}">
      <text>
        <r>
          <rPr>
            <b/>
            <sz val="9"/>
            <color indexed="81"/>
            <rFont val="Tahoma"/>
            <family val="2"/>
          </rPr>
          <t>Sonia Esperanza Casas Merchan:</t>
        </r>
        <r>
          <rPr>
            <sz val="9"/>
            <color indexed="81"/>
            <rFont val="Tahoma"/>
            <family val="2"/>
          </rPr>
          <t xml:space="preserve">
En SINERGIA no se identifican datos</t>
        </r>
      </text>
    </comment>
    <comment ref="U74" authorId="0" shapeId="0" xr:uid="{00000000-0006-0000-0500-000033000000}">
      <text>
        <r>
          <rPr>
            <b/>
            <sz val="9"/>
            <color indexed="81"/>
            <rFont val="Tahoma"/>
            <family val="2"/>
          </rPr>
          <t>Sonia Esperanza Casas Merchan:</t>
        </r>
        <r>
          <rPr>
            <sz val="9"/>
            <color indexed="81"/>
            <rFont val="Tahoma"/>
            <family val="2"/>
          </rPr>
          <t xml:space="preserve">
En SINERGIA no se identifican datos</t>
        </r>
      </text>
    </comment>
    <comment ref="AB74" authorId="0" shapeId="0" xr:uid="{00000000-0006-0000-0500-000034000000}">
      <text>
        <r>
          <rPr>
            <b/>
            <sz val="9"/>
            <color indexed="81"/>
            <rFont val="Tahoma"/>
            <family val="2"/>
          </rPr>
          <t>Sonia Esperanza Casas Merchan:</t>
        </r>
        <r>
          <rPr>
            <sz val="9"/>
            <color indexed="81"/>
            <rFont val="Tahoma"/>
            <family val="2"/>
          </rPr>
          <t xml:space="preserve">
En SINERGIA no hay dato</t>
        </r>
      </text>
    </comment>
    <comment ref="L78" authorId="0" shapeId="0" xr:uid="{00000000-0006-0000-0500-000035000000}">
      <text>
        <r>
          <rPr>
            <b/>
            <sz val="9"/>
            <color indexed="81"/>
            <rFont val="Tahoma"/>
            <family val="2"/>
          </rPr>
          <t>Sonia Esperanza Casas Merchan:</t>
        </r>
        <r>
          <rPr>
            <sz val="9"/>
            <color indexed="81"/>
            <rFont val="Tahoma"/>
            <family val="2"/>
          </rPr>
          <t xml:space="preserve">
La LB en SINERGIA figura como 94 y es 12 la inicial</t>
        </r>
      </text>
    </comment>
    <comment ref="L79" authorId="0" shapeId="0" xr:uid="{00000000-0006-0000-0500-000036000000}">
      <text>
        <r>
          <rPr>
            <b/>
            <sz val="9"/>
            <color indexed="81"/>
            <rFont val="Tahoma"/>
            <family val="2"/>
          </rPr>
          <t>Sonia Esperanza Casas Merchan:</t>
        </r>
        <r>
          <rPr>
            <sz val="9"/>
            <color indexed="81"/>
            <rFont val="Tahoma"/>
            <family val="2"/>
          </rPr>
          <t xml:space="preserve">
En SINERGIA no existe dato</t>
        </r>
      </text>
    </comment>
    <comment ref="L81" authorId="0" shapeId="0" xr:uid="{00000000-0006-0000-0500-000037000000}">
      <text>
        <r>
          <rPr>
            <b/>
            <sz val="9"/>
            <color indexed="81"/>
            <rFont val="Tahoma"/>
            <family val="2"/>
          </rPr>
          <t>Sonia Esperanza Casas Merchan:</t>
        </r>
        <r>
          <rPr>
            <sz val="9"/>
            <color indexed="81"/>
            <rFont val="Tahoma"/>
            <family val="2"/>
          </rPr>
          <t xml:space="preserve">
En SINERGIA no hay dato</t>
        </r>
      </text>
    </comment>
    <comment ref="AB81" authorId="0" shapeId="0" xr:uid="{00000000-0006-0000-0500-000038000000}">
      <text>
        <r>
          <rPr>
            <b/>
            <sz val="9"/>
            <color indexed="81"/>
            <rFont val="Tahoma"/>
            <family val="2"/>
          </rPr>
          <t>Sonia Esperanza Casas Merchan:</t>
        </r>
        <r>
          <rPr>
            <sz val="9"/>
            <color indexed="81"/>
            <rFont val="Tahoma"/>
            <family val="2"/>
          </rPr>
          <t xml:space="preserve">
En SINERGIA no hay dATO</t>
        </r>
      </text>
    </comment>
    <comment ref="E82" authorId="1" shapeId="0" xr:uid="{00000000-0006-0000-0500-000039000000}">
      <text>
        <r>
          <rPr>
            <b/>
            <sz val="9"/>
            <color indexed="81"/>
            <rFont val="Tahoma"/>
            <family val="2"/>
          </rPr>
          <t>SoniaCasas:</t>
        </r>
        <r>
          <rPr>
            <sz val="9"/>
            <color indexed="81"/>
            <rFont val="Tahoma"/>
            <family val="2"/>
          </rPr>
          <t xml:space="preserve">
no es de PND es de CONPES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Elizabeth Moreno Barbosa</author>
  </authors>
  <commentList>
    <comment ref="C10" authorId="0" shapeId="0" xr:uid="{00000000-0006-0000-0D00-000001000000}">
      <text>
        <r>
          <rPr>
            <b/>
            <sz val="9"/>
            <color indexed="81"/>
            <rFont val="Tahoma"/>
            <family val="2"/>
          </rPr>
          <t xml:space="preserve">DRG:
En DNP la Meta 2015 es 5,35. </t>
        </r>
      </text>
    </comment>
    <comment ref="C12" authorId="0" shapeId="0" xr:uid="{00000000-0006-0000-0D00-000002000000}">
      <text>
        <r>
          <rPr>
            <b/>
            <sz val="9"/>
            <color indexed="81"/>
            <rFont val="Tahoma"/>
            <family val="2"/>
          </rPr>
          <t>DRG:
En DNP la línea base es 71,70. No tiene Metas 2015, 2016, 2017, 2018. 
La Meta cuatrienio es 86,31</t>
        </r>
      </text>
    </comment>
    <comment ref="C13" authorId="0" shapeId="0" xr:uid="{00000000-0006-0000-0D00-000003000000}">
      <text>
        <r>
          <rPr>
            <b/>
            <sz val="9"/>
            <color indexed="81"/>
            <rFont val="Tahoma"/>
            <family val="2"/>
          </rPr>
          <t>DRG:
Verificar en DNP línea base es 73,00. Meta 2015 es 77,54. Meta 2016 es 79,80. Meta 2017 es 82,07. Meta 2018 es 84,33 y Meta cuatrienio es 84,33</t>
        </r>
      </text>
    </comment>
    <comment ref="C14" authorId="0" shapeId="0" xr:uid="{00000000-0006-0000-0D00-000004000000}">
      <text>
        <r>
          <rPr>
            <b/>
            <sz val="9"/>
            <color indexed="81"/>
            <rFont val="Tahoma"/>
            <family val="2"/>
          </rPr>
          <t>DRG
Verificar en DNP Meta 2015 es 120.180. Meta 2016 es 125.441. Meta 2017 es 130.703. meta 2018 y Meta cuatrienio es 135.964.</t>
        </r>
      </text>
    </comment>
    <comment ref="C16" authorId="0" shapeId="0" xr:uid="{00000000-0006-0000-0D00-000005000000}">
      <text>
        <r>
          <rPr>
            <b/>
            <sz val="9"/>
            <color indexed="81"/>
            <rFont val="Tahoma"/>
            <family val="2"/>
          </rPr>
          <t>DRG:
Revisar, en DNP línea base es 73,31</t>
        </r>
      </text>
    </comment>
    <comment ref="C17" authorId="0" shapeId="0" xr:uid="{00000000-0006-0000-0D00-000006000000}">
      <text>
        <r>
          <rPr>
            <b/>
            <sz val="9"/>
            <color indexed="81"/>
            <rFont val="Tahoma"/>
            <family val="2"/>
          </rPr>
          <t>DRG:
Revisar en DNP la línea base es 404.056</t>
        </r>
      </text>
    </comment>
    <comment ref="C25" authorId="0" shapeId="0" xr:uid="{00000000-0006-0000-0D00-000007000000}">
      <text>
        <r>
          <rPr>
            <b/>
            <sz val="9"/>
            <color indexed="81"/>
            <rFont val="Tahoma"/>
            <family val="2"/>
          </rPr>
          <t xml:space="preserve">DRG:
Verificar, DNP línea base es 5.258. </t>
        </r>
      </text>
    </comment>
    <comment ref="C26" authorId="0" shapeId="0" xr:uid="{00000000-0006-0000-0D00-000008000000}">
      <text>
        <r>
          <rPr>
            <b/>
            <sz val="9"/>
            <color indexed="81"/>
            <rFont val="Tahoma"/>
            <family val="2"/>
          </rPr>
          <t>DRG:
Verificar en DNP línea base es 659.000, no tienen meta para 2015, 2016, 2017 ni 2018. y la meta para cuatrienio es 457.081</t>
        </r>
      </text>
    </comment>
    <comment ref="C30" authorId="0" shapeId="0" xr:uid="{00000000-0006-0000-0D00-000009000000}">
      <text>
        <r>
          <rPr>
            <b/>
            <sz val="9"/>
            <color indexed="81"/>
            <rFont val="Tahoma"/>
            <family val="2"/>
          </rPr>
          <t xml:space="preserve">DRG: 
</t>
        </r>
        <r>
          <rPr>
            <sz val="9"/>
            <color indexed="81"/>
            <rFont val="Tahoma"/>
            <family val="2"/>
          </rPr>
          <t>DNP tiene en base reporte cualitativo hasta octubre de 2016</t>
        </r>
      </text>
    </comment>
    <comment ref="C35" authorId="0" shapeId="0" xr:uid="{00000000-0006-0000-0D00-00000A000000}">
      <text>
        <r>
          <rPr>
            <b/>
            <sz val="9"/>
            <color indexed="81"/>
            <rFont val="Tahoma"/>
            <family val="2"/>
          </rPr>
          <t xml:space="preserve">DRG. </t>
        </r>
        <r>
          <rPr>
            <sz val="9"/>
            <color indexed="81"/>
            <rFont val="Tahoma"/>
            <family val="2"/>
          </rPr>
          <t xml:space="preserve">OK, según base </t>
        </r>
        <r>
          <rPr>
            <b/>
            <sz val="9"/>
            <color indexed="81"/>
            <rFont val="Tahoma"/>
            <family val="2"/>
          </rPr>
          <t>DNP</t>
        </r>
      </text>
    </comment>
    <comment ref="C36" authorId="0" shapeId="0" xr:uid="{00000000-0006-0000-0D00-00000B000000}">
      <text>
        <r>
          <rPr>
            <b/>
            <sz val="9"/>
            <color indexed="81"/>
            <rFont val="Tahoma"/>
            <family val="2"/>
          </rPr>
          <t xml:space="preserve">DRG:
</t>
        </r>
        <r>
          <rPr>
            <sz val="9"/>
            <color indexed="81"/>
            <rFont val="Tahoma"/>
            <family val="2"/>
          </rPr>
          <t>En base DNP reporta avance cualitativo sólo hasta mayo de 2016</t>
        </r>
      </text>
    </comment>
    <comment ref="C37" authorId="0" shapeId="0" xr:uid="{00000000-0006-0000-0D00-00000C000000}">
      <text>
        <r>
          <rPr>
            <b/>
            <sz val="9"/>
            <color indexed="81"/>
            <rFont val="Tahoma"/>
            <family val="2"/>
          </rPr>
          <t xml:space="preserve">DRG:
</t>
        </r>
        <r>
          <rPr>
            <sz val="9"/>
            <color indexed="81"/>
            <rFont val="Tahoma"/>
            <family val="2"/>
          </rPr>
          <t>Verificar, en base DNP línea base es 29,40. Meta 2015 32,00. Meta 2016 es 33,00. Meta 2017 es 36,60. Meta 2018 es 38,00. Meta cuatrienio 38,00</t>
        </r>
      </text>
    </comment>
    <comment ref="C39" authorId="0" shapeId="0" xr:uid="{00000000-0006-0000-0D00-00000D000000}">
      <text>
        <r>
          <rPr>
            <b/>
            <sz val="9"/>
            <color indexed="81"/>
            <rFont val="Tahoma"/>
            <family val="2"/>
          </rPr>
          <t xml:space="preserve">DRG:
</t>
        </r>
        <r>
          <rPr>
            <sz val="9"/>
            <color indexed="81"/>
            <rFont val="Tahoma"/>
            <family val="2"/>
          </rPr>
          <t>Revisar, DNP línea base es 4.293. Meta 2016 es 2.335. Meta 2017 es 2.367. Meta 2017 esta 2.298. Reporte de DNP hasta 31 diciembre/16</t>
        </r>
      </text>
    </comment>
    <comment ref="C40" authorId="0" shapeId="0" xr:uid="{00000000-0006-0000-0D00-00000E000000}">
      <text>
        <r>
          <rPr>
            <b/>
            <sz val="9"/>
            <color indexed="81"/>
            <rFont val="Tahoma"/>
            <family val="2"/>
          </rPr>
          <t>DRG:</t>
        </r>
        <r>
          <rPr>
            <sz val="9"/>
            <color indexed="81"/>
            <rFont val="Tahoma"/>
            <family val="2"/>
          </rPr>
          <t xml:space="preserve">
Revisar, en DNP línea base es 94,00. Meta 2018 es 12 y Meta cuatrienio es 12
El reporte cualitativo del DNP esta hasta octubre de 2016</t>
        </r>
      </text>
    </comment>
    <comment ref="C41" authorId="0" shapeId="0" xr:uid="{00000000-0006-0000-0D00-00000F000000}">
      <text>
        <r>
          <rPr>
            <b/>
            <sz val="9"/>
            <color indexed="81"/>
            <rFont val="Tahoma"/>
            <family val="2"/>
          </rPr>
          <t xml:space="preserve">DRG:
</t>
        </r>
        <r>
          <rPr>
            <sz val="9"/>
            <color indexed="81"/>
            <rFont val="Tahoma"/>
            <family val="2"/>
          </rPr>
          <t>Reporte cualitativo de DNP está solo hasta octubre de 2016</t>
        </r>
      </text>
    </comment>
    <comment ref="C42" authorId="0" shapeId="0" xr:uid="{00000000-0006-0000-0D00-000010000000}">
      <text>
        <r>
          <rPr>
            <b/>
            <sz val="9"/>
            <color indexed="81"/>
            <rFont val="Tahoma"/>
            <family val="2"/>
          </rPr>
          <t>DRG:</t>
        </r>
        <r>
          <rPr>
            <sz val="9"/>
            <color indexed="81"/>
            <rFont val="Tahoma"/>
            <family val="2"/>
          </rPr>
          <t xml:space="preserve">
Verificar, en DNP Línea base es 5,07. Meta 2015 es 5,07. Meta 2016 es 5,25. Meta 2017 es 5,40. Meta 2018 es 5,61 y Meta cuatrienio 5,61
DNP reporta avance cualitativo solo a diciembre de 2016</t>
        </r>
      </text>
    </comment>
    <comment ref="C43" authorId="0" shapeId="0" xr:uid="{00000000-0006-0000-0D00-000011000000}">
      <text>
        <r>
          <rPr>
            <b/>
            <sz val="9"/>
            <color indexed="81"/>
            <rFont val="Tahoma"/>
            <family val="2"/>
          </rPr>
          <t>DRG: 
DNP reporta avance cualitativo hasta diciembre de 2016 .</t>
        </r>
      </text>
    </comment>
    <comment ref="C44" authorId="0" shapeId="0" xr:uid="{00000000-0006-0000-0D00-000012000000}">
      <text>
        <r>
          <rPr>
            <b/>
            <sz val="9"/>
            <color indexed="81"/>
            <rFont val="Tahoma"/>
            <family val="2"/>
          </rPr>
          <t>DRG:
En BASE dnp Meta 2018 y Meta cuatrienio es 2.300.000. Solo reporta avance cualitativo a diciembre de 2016</t>
        </r>
      </text>
    </comment>
    <comment ref="C45" authorId="0" shapeId="0" xr:uid="{00000000-0006-0000-0D00-000013000000}">
      <text>
        <r>
          <rPr>
            <b/>
            <sz val="9"/>
            <color indexed="81"/>
            <rFont val="Tahoma"/>
            <family val="2"/>
          </rPr>
          <t xml:space="preserve">DRG: </t>
        </r>
        <r>
          <rPr>
            <sz val="9"/>
            <color indexed="81"/>
            <rFont val="Tahoma"/>
            <family val="2"/>
          </rPr>
          <t xml:space="preserve">Verificar con DNP la fecha de corte (columna AC) y fecha de modificación (columna AD). Archivo </t>
        </r>
        <r>
          <rPr>
            <b/>
            <sz val="9"/>
            <color indexed="81"/>
            <rFont val="Tahoma"/>
            <family val="2"/>
          </rPr>
          <t>"Detalle indicadores Educación 13032017"</t>
        </r>
      </text>
    </comment>
    <comment ref="C47" authorId="0" shapeId="0" xr:uid="{00000000-0006-0000-0D00-000014000000}">
      <text>
        <r>
          <rPr>
            <b/>
            <sz val="9"/>
            <color indexed="81"/>
            <rFont val="Tahoma"/>
            <family val="2"/>
          </rPr>
          <t xml:space="preserve">DRG: </t>
        </r>
        <r>
          <rPr>
            <sz val="9"/>
            <color indexed="81"/>
            <rFont val="Tahoma"/>
            <family val="2"/>
          </rPr>
          <t>EL excel del MEN tiene reportes actualizados, hay un atraso en el cargue de SINERGIA, debido a que el área responsable del reporte entregó cuantitativo de junio de 2016 en febrero de 2017. Se debe solicitar al DNP el cargue masivo previo ajuste de reportes con observaciones.</t>
        </r>
      </text>
    </comment>
    <comment ref="C51" authorId="0" shapeId="0" xr:uid="{00000000-0006-0000-0D00-000015000000}">
      <text>
        <r>
          <rPr>
            <b/>
            <sz val="9"/>
            <color indexed="81"/>
            <rFont val="Tahoma"/>
            <family val="2"/>
          </rPr>
          <t xml:space="preserve">DRG: </t>
        </r>
        <r>
          <rPr>
            <sz val="9"/>
            <color indexed="81"/>
            <rFont val="Tahoma"/>
            <family val="2"/>
          </rPr>
          <t xml:space="preserve"> </t>
        </r>
        <r>
          <rPr>
            <b/>
            <sz val="9"/>
            <color indexed="81"/>
            <rFont val="Tahoma"/>
            <family val="2"/>
          </rPr>
          <t xml:space="preserve">Verificar la línea base 2014, en DNP esta en 10 </t>
        </r>
      </text>
    </comment>
    <comment ref="C52" authorId="1" shapeId="0" xr:uid="{00000000-0006-0000-0D00-000016000000}">
      <text>
        <r>
          <rPr>
            <b/>
            <sz val="14"/>
            <color indexed="81"/>
            <rFont val="Tahoma"/>
            <family val="2"/>
          </rPr>
          <t>En el tablero de Presidencia las metas anuales son diferentes (Meta 2018: 297.729)</t>
        </r>
        <r>
          <rPr>
            <b/>
            <sz val="9"/>
            <color indexed="81"/>
            <rFont val="Tahoma"/>
            <family val="2"/>
          </rPr>
          <t xml:space="preserve">
</t>
        </r>
      </text>
    </comment>
    <comment ref="C53" authorId="0" shapeId="0" xr:uid="{00000000-0006-0000-0D00-000017000000}">
      <text>
        <r>
          <rPr>
            <b/>
            <sz val="9"/>
            <color indexed="81"/>
            <rFont val="Tahoma"/>
            <family val="2"/>
          </rPr>
          <t>DRG: 
R</t>
        </r>
        <r>
          <rPr>
            <sz val="9"/>
            <color indexed="81"/>
            <rFont val="Tahoma"/>
            <family val="2"/>
          </rPr>
          <t xml:space="preserve">evisar el avance cualitativo que reporta el DNP …"al cierre del 2016, se crearon </t>
        </r>
        <r>
          <rPr>
            <b/>
            <sz val="9"/>
            <color indexed="81"/>
            <rFont val="Tahoma"/>
            <family val="2"/>
          </rPr>
          <t>2015</t>
        </r>
        <r>
          <rPr>
            <sz val="9"/>
            <color indexed="81"/>
            <rFont val="Tahoma"/>
            <family val="2"/>
          </rPr>
          <t xml:space="preserve"> nuevos programas Técnicos profesionales y tecnológicos, con los que se espera aumentar la oferta.". </t>
        </r>
        <r>
          <rPr>
            <b/>
            <sz val="9"/>
            <color indexed="81"/>
            <rFont val="Tahoma"/>
            <family val="2"/>
          </rPr>
          <t>NO COINCIDE CON LA CIFRA DE LA MATRIZ DEL MEN. 
Revisar este dato en reporte de febrero dice 2015 y en marzo dice 217</t>
        </r>
      </text>
    </comment>
    <comment ref="C54" authorId="0" shapeId="0" xr:uid="{00000000-0006-0000-0D00-000018000000}">
      <text>
        <r>
          <rPr>
            <b/>
            <sz val="9"/>
            <color indexed="81"/>
            <rFont val="Tahoma"/>
            <family val="2"/>
          </rPr>
          <t xml:space="preserve">DRG: </t>
        </r>
        <r>
          <rPr>
            <sz val="9"/>
            <color indexed="81"/>
            <rFont val="Tahoma"/>
            <family val="2"/>
          </rPr>
          <t>Revisar ;en la base de DNP aparece dos (2) veces el mismo indicador (fila 22 y fila 25) con diferentes datos (metas y ID de indicador</t>
        </r>
      </text>
    </comment>
    <comment ref="C55" authorId="0" shapeId="0" xr:uid="{00000000-0006-0000-0D00-000019000000}">
      <text>
        <r>
          <rPr>
            <b/>
            <sz val="9"/>
            <color indexed="81"/>
            <rFont val="Tahoma"/>
            <family val="2"/>
          </rPr>
          <t>DRG: 
Verificar: en base DNP: Línea base 2014: 545.444 y en base de Planeación es 464.164</t>
        </r>
      </text>
    </comment>
    <comment ref="C57" authorId="0" shapeId="0" xr:uid="{00000000-0006-0000-0D00-00001A000000}">
      <text>
        <r>
          <rPr>
            <b/>
            <sz val="9"/>
            <color indexed="81"/>
            <rFont val="Tahoma"/>
            <family val="2"/>
          </rPr>
          <t xml:space="preserve">DRG: </t>
        </r>
        <r>
          <rPr>
            <sz val="9"/>
            <color indexed="81"/>
            <rFont val="Tahoma"/>
            <family val="2"/>
          </rPr>
          <t xml:space="preserve">En la base del DNP éste indicador aparece con el nombre </t>
        </r>
        <r>
          <rPr>
            <b/>
            <sz val="9"/>
            <color indexed="81"/>
            <rFont val="Tahoma"/>
            <family val="2"/>
          </rPr>
          <t>"Tasa de cobertura en Educación Superior</t>
        </r>
        <r>
          <rPr>
            <sz val="9"/>
            <color indexed="81"/>
            <rFont val="Tahoma"/>
            <family val="2"/>
          </rPr>
          <t xml:space="preserve">"(fila 25)  y el análisis cualitativo reportado para marzo ene las dos (2) bases </t>
        </r>
        <r>
          <rPr>
            <b/>
            <sz val="9"/>
            <color indexed="81"/>
            <rFont val="Tahoma"/>
            <family val="2"/>
          </rPr>
          <t>NO</t>
        </r>
        <r>
          <rPr>
            <sz val="9"/>
            <color indexed="81"/>
            <rFont val="Tahoma"/>
            <family val="2"/>
          </rPr>
          <t xml:space="preserve"> coincide</t>
        </r>
      </text>
    </comment>
    <comment ref="C58" authorId="0" shapeId="0" xr:uid="{00000000-0006-0000-0D00-00001B000000}">
      <text>
        <r>
          <rPr>
            <b/>
            <sz val="9"/>
            <color indexed="81"/>
            <rFont val="Tahoma"/>
            <family val="2"/>
          </rPr>
          <t xml:space="preserve">DRG
</t>
        </r>
        <r>
          <rPr>
            <sz val="9"/>
            <color indexed="81"/>
            <rFont val="Tahoma"/>
            <family val="2"/>
          </rPr>
          <t>Verificar no coinciden las cifras, en DNP Línea base 23.067. Meta 2016: 37614.
El ultimo reporte cualitativo de DNP es de DICIEMBRE 2016</t>
        </r>
      </text>
    </comment>
    <comment ref="C59" authorId="0" shapeId="0" xr:uid="{00000000-0006-0000-0D00-00001C000000}">
      <text>
        <r>
          <rPr>
            <b/>
            <sz val="9"/>
            <color indexed="81"/>
            <rFont val="Tahoma"/>
            <family val="2"/>
          </rPr>
          <t xml:space="preserve">DRG:
</t>
        </r>
        <r>
          <rPr>
            <sz val="9"/>
            <color indexed="81"/>
            <rFont val="Tahoma"/>
            <family val="2"/>
          </rPr>
          <t>El ultimo reporte  cualitativo del DNP es de enero de 2016</t>
        </r>
        <r>
          <rPr>
            <b/>
            <sz val="9"/>
            <color indexed="81"/>
            <rFont val="Tahoma"/>
            <family val="2"/>
          </rPr>
          <t xml:space="preserve">
</t>
        </r>
      </text>
    </comment>
    <comment ref="C61" authorId="0" shapeId="0" xr:uid="{00000000-0006-0000-0D00-00001D000000}">
      <text>
        <r>
          <rPr>
            <b/>
            <sz val="9"/>
            <color indexed="81"/>
            <rFont val="Tahoma"/>
            <family val="2"/>
          </rPr>
          <t xml:space="preserve">DRG:
</t>
        </r>
        <r>
          <rPr>
            <sz val="9"/>
            <color indexed="81"/>
            <rFont val="Tahoma"/>
            <family val="2"/>
          </rPr>
          <t>Verificar, en base DNP: Meta  2016 es de 12, Meta 2017 es 20</t>
        </r>
      </text>
    </comment>
    <comment ref="C62" authorId="0" shapeId="0" xr:uid="{00000000-0006-0000-0D00-00001E000000}">
      <text>
        <r>
          <rPr>
            <b/>
            <sz val="9"/>
            <color indexed="81"/>
            <rFont val="Tahoma"/>
            <family val="2"/>
          </rPr>
          <t>DRG:</t>
        </r>
        <r>
          <rPr>
            <sz val="9"/>
            <color indexed="81"/>
            <rFont val="Tahoma"/>
            <family val="2"/>
          </rPr>
          <t xml:space="preserve">
Verificar, Línea base en DNP 157.597
revisar el reporte de avance cualitativo de enero de la base del  DNP, no coincide toda la información que se reportó</t>
        </r>
      </text>
    </comment>
    <comment ref="C63" authorId="0" shapeId="0" xr:uid="{00000000-0006-0000-0D00-00001F000000}">
      <text>
        <r>
          <rPr>
            <b/>
            <sz val="9"/>
            <color indexed="81"/>
            <rFont val="Tahoma"/>
            <family val="2"/>
          </rPr>
          <t xml:space="preserve">DRG:
</t>
        </r>
        <r>
          <rPr>
            <sz val="9"/>
            <color indexed="81"/>
            <rFont val="Tahoma"/>
            <family val="2"/>
          </rPr>
          <t xml:space="preserve">En DNP, línea base es 13.429
</t>
        </r>
      </text>
    </comment>
    <comment ref="C64" authorId="0" shapeId="0" xr:uid="{00000000-0006-0000-0D00-000020000000}">
      <text>
        <r>
          <rPr>
            <b/>
            <sz val="9"/>
            <color indexed="81"/>
            <rFont val="Tahoma"/>
            <family val="2"/>
          </rPr>
          <t>DRG:</t>
        </r>
        <r>
          <rPr>
            <sz val="9"/>
            <color indexed="81"/>
            <rFont val="Tahoma"/>
            <family val="2"/>
          </rPr>
          <t xml:space="preserve">
Verificar la linea basea en DNP es 2.709, meta 2015 es 3.227, meta 2016 es 3486, meta 2017 es 3.746,  meta 2018 4.004, meta cuatrienio 4.004
</t>
        </r>
        <r>
          <rPr>
            <b/>
            <sz val="9"/>
            <color indexed="81"/>
            <rFont val="Tahoma"/>
            <family val="2"/>
          </rPr>
          <t>EL ULTIMO REPORTE DE DNP, ESTA A DICIEMBRE DE 2015</t>
        </r>
      </text>
    </comment>
    <comment ref="C67" authorId="0" shapeId="0" xr:uid="{00000000-0006-0000-0D00-000021000000}">
      <text>
        <r>
          <rPr>
            <b/>
            <sz val="9"/>
            <color indexed="81"/>
            <rFont val="Tahoma"/>
            <family val="2"/>
          </rPr>
          <t xml:space="preserve">OK, </t>
        </r>
        <r>
          <rPr>
            <sz val="9"/>
            <color indexed="81"/>
            <rFont val="Tahoma"/>
            <family val="2"/>
          </rPr>
          <t>SEGÚN BASE DE</t>
        </r>
        <r>
          <rPr>
            <b/>
            <sz val="9"/>
            <color indexed="81"/>
            <rFont val="Tahoma"/>
            <family val="2"/>
          </rPr>
          <t xml:space="preserve"> DNP</t>
        </r>
      </text>
    </comment>
    <comment ref="C68" authorId="0" shapeId="0" xr:uid="{00000000-0006-0000-0D00-000022000000}">
      <text>
        <r>
          <rPr>
            <b/>
            <sz val="9"/>
            <color indexed="81"/>
            <rFont val="Tahoma"/>
            <family val="2"/>
          </rPr>
          <t xml:space="preserve">DRG: 
</t>
        </r>
        <r>
          <rPr>
            <sz val="9"/>
            <color indexed="81"/>
            <rFont val="Tahoma"/>
            <family val="2"/>
          </rPr>
          <t>OK según  BASE DE DNP</t>
        </r>
      </text>
    </comment>
    <comment ref="C70" authorId="0" shapeId="0" xr:uid="{00000000-0006-0000-0D00-000023000000}">
      <text>
        <r>
          <rPr>
            <b/>
            <sz val="9"/>
            <color indexed="81"/>
            <rFont val="Tahoma"/>
            <family val="2"/>
          </rPr>
          <t xml:space="preserve">DRG. </t>
        </r>
        <r>
          <rPr>
            <sz val="9"/>
            <color indexed="81"/>
            <rFont val="Tahoma"/>
            <family val="2"/>
          </rPr>
          <t>Ok según base de</t>
        </r>
        <r>
          <rPr>
            <b/>
            <sz val="9"/>
            <color indexed="81"/>
            <rFont val="Tahoma"/>
            <family val="2"/>
          </rPr>
          <t xml:space="preserve"> DNP
</t>
        </r>
      </text>
    </comment>
    <comment ref="C71" authorId="0" shapeId="0" xr:uid="{00000000-0006-0000-0D00-000024000000}">
      <text>
        <r>
          <rPr>
            <b/>
            <sz val="9"/>
            <color indexed="81"/>
            <rFont val="Tahoma"/>
            <family val="2"/>
          </rPr>
          <t>DRG
Revisar e DNP línea base es 300. No reportan meta para 2015, 2016, 2017, 2018, ni Meta cuatrienio</t>
        </r>
      </text>
    </comment>
    <comment ref="C72" authorId="0" shapeId="0" xr:uid="{00000000-0006-0000-0D00-000025000000}">
      <text>
        <r>
          <rPr>
            <b/>
            <sz val="9"/>
            <color indexed="81"/>
            <rFont val="Tahoma"/>
            <family val="2"/>
          </rPr>
          <t>DRG
OK, SEGÚN BASE DE DNP</t>
        </r>
      </text>
    </comment>
    <comment ref="C73" authorId="0" shapeId="0" xr:uid="{00000000-0006-0000-0D00-000026000000}">
      <text>
        <r>
          <rPr>
            <b/>
            <sz val="9"/>
            <color indexed="81"/>
            <rFont val="Tahoma"/>
            <family val="2"/>
          </rPr>
          <t>DRG
DNP no tiene línea base, ni metas para 2015, 2016, 2017, 2018 ni Meta cuatrienio</t>
        </r>
      </text>
    </comment>
    <comment ref="C74" authorId="0" shapeId="0" xr:uid="{00000000-0006-0000-0D00-000027000000}">
      <text>
        <r>
          <rPr>
            <b/>
            <sz val="9"/>
            <color indexed="81"/>
            <rFont val="Tahoma"/>
            <family val="2"/>
          </rPr>
          <t>DRG:
Revisar la observación de febrero, habla de una reunión que se realizará el próximo 13 de enero de 2017. 
El avance cualitativo no coincide con el último reportado por DNP (febrero 2017)</t>
        </r>
      </text>
    </comment>
    <comment ref="C75" authorId="0" shapeId="0" xr:uid="{00000000-0006-0000-0D00-000028000000}">
      <text>
        <r>
          <rPr>
            <b/>
            <sz val="9"/>
            <color indexed="81"/>
            <rFont val="Tahoma"/>
            <family val="2"/>
          </rPr>
          <t>DRG:
En base DNP. Meta 2015 es 94. DNP reporta avance cualitativo hasta octubre de 2016</t>
        </r>
      </text>
    </comment>
    <comment ref="C76" authorId="0" shapeId="0" xr:uid="{00000000-0006-0000-0D00-000029000000}">
      <text>
        <r>
          <rPr>
            <b/>
            <sz val="9"/>
            <color indexed="81"/>
            <rFont val="Tahoma"/>
            <family val="2"/>
          </rPr>
          <t>DRG
DNP reporta avance cualitativo solo a octubre de 2016</t>
        </r>
      </text>
    </comment>
    <comment ref="C77" authorId="0" shapeId="0" xr:uid="{00000000-0006-0000-0D00-00002A000000}">
      <text>
        <r>
          <rPr>
            <b/>
            <sz val="9"/>
            <color indexed="81"/>
            <rFont val="Tahoma"/>
            <family val="2"/>
          </rPr>
          <t xml:space="preserve">DRG
</t>
        </r>
        <r>
          <rPr>
            <sz val="9"/>
            <color indexed="81"/>
            <rFont val="Tahoma"/>
            <family val="2"/>
          </rPr>
          <t>DNP reporta avance cualitativo hasta noviembre de 2016</t>
        </r>
      </text>
    </comment>
    <comment ref="C78" authorId="0" shapeId="0" xr:uid="{00000000-0006-0000-0D00-00002B000000}">
      <text>
        <r>
          <rPr>
            <b/>
            <sz val="9"/>
            <color indexed="81"/>
            <rFont val="Tahoma"/>
            <family val="2"/>
          </rPr>
          <t xml:space="preserve">DRG
OK según base DNP
</t>
        </r>
      </text>
    </comment>
    <comment ref="C79" authorId="0" shapeId="0" xr:uid="{00000000-0006-0000-0D00-00002C000000}">
      <text>
        <r>
          <rPr>
            <b/>
            <sz val="9"/>
            <color indexed="81"/>
            <rFont val="Tahoma"/>
            <family val="2"/>
          </rPr>
          <t>DRG</t>
        </r>
        <r>
          <rPr>
            <sz val="9"/>
            <color indexed="81"/>
            <rFont val="Tahoma"/>
            <family val="2"/>
          </rPr>
          <t xml:space="preserve">
DNP no reporta Meta de cuatrienio. Reporta avance cualitativo solo a noviembre de 2016</t>
        </r>
        <r>
          <rPr>
            <b/>
            <sz val="9"/>
            <color indexed="81"/>
            <rFont val="Tahoma"/>
            <family val="2"/>
          </rPr>
          <t>. 
revisar el contenido del avance cualitativo. No coincide con el de la base del MEN</t>
        </r>
      </text>
    </comment>
    <comment ref="C83" authorId="0" shapeId="0" xr:uid="{00000000-0006-0000-0D00-00002D000000}">
      <text>
        <r>
          <rPr>
            <b/>
            <sz val="9"/>
            <color indexed="81"/>
            <rFont val="Tahoma"/>
            <family val="2"/>
          </rPr>
          <t>DRG:
Revisar el avance cualitativo que reporta DNP para diciembre, no coincide con la basa del MEN</t>
        </r>
      </text>
    </comment>
    <comment ref="C85" authorId="0" shapeId="0" xr:uid="{00000000-0006-0000-0D00-00002E000000}">
      <text>
        <r>
          <rPr>
            <b/>
            <sz val="9"/>
            <color indexed="81"/>
            <rFont val="Tahoma"/>
            <family val="2"/>
          </rPr>
          <t xml:space="preserve">DRG
</t>
        </r>
        <r>
          <rPr>
            <sz val="9"/>
            <color indexed="81"/>
            <rFont val="Tahoma"/>
            <family val="2"/>
          </rPr>
          <t>El último reporte del DNP es de junio de 2016</t>
        </r>
      </text>
    </comment>
    <comment ref="C86" authorId="0" shapeId="0" xr:uid="{00000000-0006-0000-0D00-00002F000000}">
      <text>
        <r>
          <rPr>
            <b/>
            <sz val="9"/>
            <color indexed="81"/>
            <rFont val="Tahoma"/>
            <family val="2"/>
          </rPr>
          <t>DRG
DNP reporta avance cualitativo solo hasta junio de 2016.
Indicador en proceso de revisión y validación por parte del DNP  según oficio No. 2017EE007904</t>
        </r>
      </text>
    </comment>
    <comment ref="C87" authorId="0" shapeId="0" xr:uid="{00000000-0006-0000-0D00-000030000000}">
      <text>
        <r>
          <rPr>
            <b/>
            <sz val="9"/>
            <color indexed="81"/>
            <rFont val="Tahoma"/>
            <family val="2"/>
          </rPr>
          <t>DRG
Indicador en proceso de revisión y validación por parte del DNP
ndicador en proceso de revisión y validación por parte del DNP  según oficio No. 2017EE007904</t>
        </r>
      </text>
    </comment>
  </commentList>
</comments>
</file>

<file path=xl/sharedStrings.xml><?xml version="1.0" encoding="utf-8"?>
<sst xmlns="http://schemas.openxmlformats.org/spreadsheetml/2006/main" count="3855" uniqueCount="468">
  <si>
    <t xml:space="preserve">ESTADO DE INDICADORES PND </t>
  </si>
  <si>
    <t>Meta Cuatrienio 2015-2018</t>
  </si>
  <si>
    <t>Tasa de cobertura bruta en educación media</t>
  </si>
  <si>
    <t>Tasa de supervivencia de grado primero a 11</t>
  </si>
  <si>
    <t>Proporción de niños entre 6 y 16 años en el hogar que asisten al colegio</t>
  </si>
  <si>
    <t>Tasa de deserción intra-anual de educación preescolar, básica y media</t>
  </si>
  <si>
    <t xml:space="preserve">Tasa de cobertura bruta en educación media en la zona rural
</t>
  </si>
  <si>
    <t>Sedes rurales intervenidas con mejoramiento o construcción de infraestructura</t>
  </si>
  <si>
    <t>Porcentaje de docentes que entran al magisterio que se encuentran en los quintiles superiores (4 y 5) de las pruebas SABER PRO en Razonamiento Cuantitativo</t>
  </si>
  <si>
    <t>Porcentaje de docentes que entran al magisterio que se encuentran en los quintiles superiores (4 y 5) de las pruebas SABER PRO en Lectura Crítica</t>
  </si>
  <si>
    <t>Tasa de analfabetismo para población de 15 años y más</t>
  </si>
  <si>
    <t>Nuevos jóvenes y adultos alfabetizados</t>
  </si>
  <si>
    <t>Tasa de cobertura bruta en educación media - Centro Sur</t>
  </si>
  <si>
    <t>Tasa de cobertura bruta de educación media - Llanos</t>
  </si>
  <si>
    <t>Estudiantes matriculados en programas de educación flexible en la región llanos</t>
  </si>
  <si>
    <t>Sedes educativas rurales con Modelos Educativos Flexibles - Llanos</t>
  </si>
  <si>
    <t>Tasa de cobertura bruta en educación media  - Pacífico</t>
  </si>
  <si>
    <t>Estudiantes matriculados en programas de educación flexible en la región - Pacífico</t>
  </si>
  <si>
    <t>Sedes educativas rurales con Modelos Educativos Flexibles - Pacífico</t>
  </si>
  <si>
    <t>Tasa de cobertura bruta en educación media - Eje Cafetero</t>
  </si>
  <si>
    <t>Sedes rurales oficiales intervenidas con mejoramiento o construcción de infraestructura - Eje Cafetero</t>
  </si>
  <si>
    <t>Tasa de supervivencia de grado primero a once en zona rural en la región del eje cafetero</t>
  </si>
  <si>
    <t>Sedes educativas rurales con Modelos Educativos Flexibles - Eje Cafetero</t>
  </si>
  <si>
    <t>Tasa de cobertura bruta en educación media - Caribe</t>
  </si>
  <si>
    <t>Estudiantes matriculados en programas de educación flexible en la región - Caribe</t>
  </si>
  <si>
    <t>Sedes educativas de la región con Modelos Educativos Flexibles - Caribe</t>
  </si>
  <si>
    <t>Personas de 15 años y más analfabetas - Caribe</t>
  </si>
  <si>
    <t>Aulas nuevas y ampliadas del Plan de Infraestructura para atender Jornada Única</t>
  </si>
  <si>
    <t>Tasa de cobertura bruta en educación media en San Andrés</t>
  </si>
  <si>
    <t>Porcentaje de colegios oficiales en las categorias A+, A y B en las pruebas Saber 11</t>
  </si>
  <si>
    <t>Porcentaje de la población evaluada en el sector oficial en las pruebas SABER 5 que sube de nivel de logro, respecto a la línea base</t>
  </si>
  <si>
    <t>Porcentaje de estudiantes del sector oficial evaluados con nivel B1 o superior de inglés del Marco Común Europeo</t>
  </si>
  <si>
    <t>Porcentaje de estudiantes con jornada única</t>
  </si>
  <si>
    <t>Porcentaje de estudiantes en establecimientos focalizados por el Programa Todos a Aprender con niveles Satisfactorio y Avanzado en pruebas de lenguaje SABER 5</t>
  </si>
  <si>
    <t>Porcentaje de estudiantes en establecimientos focalizados por el Programa Todos a Aprender en niveles Satisfactorio y Avanzado en pruebas de Matemáticas SABER 5</t>
  </si>
  <si>
    <t>Docentes por tutor en el programa Todos a Aprender</t>
  </si>
  <si>
    <t>Porcentaje de personas que ingresan a programas de licenciatura que están entre los puestos del 1 a 400 de la prueba SABER 11</t>
  </si>
  <si>
    <t>Porcentaje de docentes oficiales de educación preescolar,básica y media con formación de postgrado</t>
  </si>
  <si>
    <t>Docentes de inglés del sector oficial evaluados con nivel B2 o superior de acuerdo a los niveles del Marco Común Europeo de Referencia</t>
  </si>
  <si>
    <t>Docentes formados en inglés</t>
  </si>
  <si>
    <t>Porcentaje de estudiantes del sector oficial en niveles satisfactorio y avanzado pruebas SABER 5 (matemáticas) - Eje Cafetero</t>
  </si>
  <si>
    <t>Tutores vinculados al Programa Todos a Aprender 2.0</t>
  </si>
  <si>
    <t>Índice sintético de calidad educativa Primaria</t>
  </si>
  <si>
    <t>Número de colegios oficiales en las categorias A+, A y B en las pruebas SABER 11</t>
  </si>
  <si>
    <t>Número de estudiantes en el sector oficial con jornada única</t>
  </si>
  <si>
    <t>Tasa de cobertura de alta calidad en educación superior</t>
  </si>
  <si>
    <t>Porcentaje de matrícula oficial con conexión a internet</t>
  </si>
  <si>
    <t>Estudiantes beneficiados con créditos condonables para programas profesionales de licenciatura en Instituciones Educativas Certificadas con alta calidad</t>
  </si>
  <si>
    <t>Porcentaje de programas de licenciatura con acreditación de alta calidad</t>
  </si>
  <si>
    <t>Porcentaje de estudiantes de licenciatura en nivel de desempeño alto (nivel 3) en pruebas de razonamiento cuantitativo de SABER PRO</t>
  </si>
  <si>
    <t>Porcentaje de estudiantes de licenciatura en nivel de desempeño alto (nivel 3) en pruebas de lectura crítica de SABER PRO</t>
  </si>
  <si>
    <t>Porcentaje de cupos de educación técnica y tecnológica con acreditación de alta calidad en programas e IES con acreditacion de alta calidad</t>
  </si>
  <si>
    <t>Nuevos cupos en educación técnica y tecnológica</t>
  </si>
  <si>
    <t>Tasa de deserción anual en educación técnica y tecnológica</t>
  </si>
  <si>
    <t>Tasa de Cobertura en Educación Superior</t>
  </si>
  <si>
    <t>Nuevos Cupos en Educación Superior</t>
  </si>
  <si>
    <t>Departamentos con tasa de Cobertura en Educación Superior por encima del 20%</t>
  </si>
  <si>
    <t>Tasa de deserción en educación superior</t>
  </si>
  <si>
    <t xml:space="preserve">Estudiantes beneficiados con nuevos créditos condonables </t>
  </si>
  <si>
    <t>Porcentaje de créditos nuevos de pregrado aprobados en Programas o Instituciones Educativas Certificadas con alta calidad</t>
  </si>
  <si>
    <t>Docentes de Educación Superior con formación Doctoral</t>
  </si>
  <si>
    <t>Ganancias en puestos de universidades colombianas en ranking internacional</t>
  </si>
  <si>
    <t>Graduados en educación técnica y tecnológica en la región del eje cafetero</t>
  </si>
  <si>
    <t>Nuevos cupos en educación técnica y tecnológica - Eje Cafetero</t>
  </si>
  <si>
    <t>Profesionales graduados de maestría y doctorado en la región - Eje Cafetero</t>
  </si>
  <si>
    <t>Estudiantes beneficiarios del Programa Ser Pilo Paga</t>
  </si>
  <si>
    <t>Tasa de deserción del Programa Ser Pilo Paga</t>
  </si>
  <si>
    <t xml:space="preserve">Cupos en educación superior para la población del Pueblo Rrom </t>
  </si>
  <si>
    <t>Entidades territoriales (con presencia de poblacion rrom en sus EE) que cuentan con lineamientos de educación intercultural desde los usos y costumbres del Pueblo Rrom desde la primera infancia hasta la educación superior, diseñados y socializados</t>
  </si>
  <si>
    <t>Programa de formación para adultos del Pueblo Rrom en el marco de usos y costumbres diseñado e implementado</t>
  </si>
  <si>
    <t>Estudiantes indígenas beneficiarios de créditos del Fondo Alvaro Ulcue Chocue y otros programas de financiación</t>
  </si>
  <si>
    <t>Talento humano cualificado para la atención integral a la primera infancia (MinEducación)</t>
  </si>
  <si>
    <t>Porcentaje de niños y niñas atendidos en educación inicial en el marco de la atención integral que cuentan con las 8 atenciones priorizadas</t>
  </si>
  <si>
    <t>Porcentaje de mujeres gestantes inscritas en las modalidades de educación inicial en el marco de la atención integral que cuentan con las 3 atenciones priorizadas</t>
  </si>
  <si>
    <t>Porcentaje de talento humano cualificado vinculado a los servicios educación inicial en el marco de la atención integral.</t>
  </si>
  <si>
    <t xml:space="preserve"> Secretarias de Educación certificadas beneficiadas con acciones del programa de educación para la sexualidad y construcción de ciudadanía.</t>
  </si>
  <si>
    <t xml:space="preserve">Porcentaje de Instituciones Educativas que cuentan con el PESCC en los municipios en donde se implementa la estrategia nacional de prevención de embarazo en adolescentes. </t>
  </si>
  <si>
    <t>Municipios focalizados por la estrategia nacional de prevención de embarazo en adolescentes que implementan Jornada Unica</t>
  </si>
  <si>
    <t>Porcentaje de avance en la expedición de la Directiva Ministerial de Prestación del Servicio educativo, para garantizar la permanencia de adolescentes y jovenes en situación de embarazo adolescente.</t>
  </si>
  <si>
    <t>Porcentaje de población víctima atendida de 5 a 17 años que asisten al sistema educativo</t>
  </si>
  <si>
    <t>Avance 
2015</t>
  </si>
  <si>
    <t>Avance 
2016</t>
  </si>
  <si>
    <t>Avance 
2017</t>
  </si>
  <si>
    <t>Nombre del Indicador</t>
  </si>
  <si>
    <t>No reporta dato 2015 ni 2016</t>
  </si>
  <si>
    <t>Observación</t>
  </si>
  <si>
    <t>No Cumplirá la meta ya que 100,000 eran del SENA</t>
  </si>
  <si>
    <t>No será posible cumplir la meta de los 33 departamentos considerando que aquellos que corresponden a los antiguos territorios nacionales no cuentan con la oferta en educación superior.</t>
  </si>
  <si>
    <t>META 2015</t>
  </si>
  <si>
    <t>META 2016</t>
  </si>
  <si>
    <t>META 2017</t>
  </si>
  <si>
    <t xml:space="preserve">Dado que no se han aprobado los ajustes ante DNP de este indicador y aún con las 460 becas de más no se va a cumplir la meta final </t>
  </si>
  <si>
    <t>En cálculo de dato preliminar - Grupo de Información OAPF</t>
  </si>
  <si>
    <t>* Falta esperar dato de 2017, porque la tendencia esta bajando</t>
  </si>
  <si>
    <t>Según Grupo de información: El dato de este indicadorpara 2016, estará disponible de forma preliminar el 16 de febrero de 2018</t>
  </si>
  <si>
    <t>*Pendiente ajustar series de acuerdo a la directriz del DNP (incluir aulas mejoradas)</t>
  </si>
  <si>
    <t>* Acumulado va en 4.635. DNP no aprobó reducir la meta.</t>
  </si>
  <si>
    <t>* El área informa: Se remitió al MSPS la base de datos total del SSNN para realizar el reporte actulizado de las atenciones correspondientes a las mujeres gestantes.
Estamos a la espera de la información que entragará el ICBF correspondiente a la vigencia 2017 para realizar el cálculo del indicador.</t>
  </si>
  <si>
    <t>* El área informa: Las cifras de cualificación reportadas por cada una de las entidades son las siguientes: ICBF = 15.580, MEN = 3.552, Mincultura=459 y Coldeportes=5.240 para un total de 24.831. Las entidades estan en proceso de reporte de la información para cargue al SIPI.</t>
  </si>
  <si>
    <t>SUPERIOR</t>
  </si>
  <si>
    <t xml:space="preserve">DESPACHO </t>
  </si>
  <si>
    <t>BASICA</t>
  </si>
  <si>
    <t>Estado</t>
  </si>
  <si>
    <t>% CUMPL VS META_2015</t>
  </si>
  <si>
    <t>VIGENCIA 2015</t>
  </si>
  <si>
    <t>% CUMPL VS META_2016</t>
  </si>
  <si>
    <t>VIGENCIA 2016</t>
  </si>
  <si>
    <t>% CUMPL VS META_2017</t>
  </si>
  <si>
    <t>VIGENCIA 2017</t>
  </si>
  <si>
    <t>No reporta dato 2016; se encuentra en estudio de viabilidad de cambio de metodología</t>
  </si>
  <si>
    <t>Hector Flechas</t>
  </si>
  <si>
    <t>Carlos Carreño</t>
  </si>
  <si>
    <t>Pilar Moreno</t>
  </si>
  <si>
    <t>En riesgo de incumplimiento</t>
  </si>
  <si>
    <t>MES ÚLTIMO REPORTE</t>
  </si>
  <si>
    <t>Diciembre</t>
  </si>
  <si>
    <t>Noviembre</t>
  </si>
  <si>
    <t xml:space="preserve">Los resultados que se dieron al cierre muestran un comportanmiento bajo en comparación al año pasado. </t>
  </si>
  <si>
    <t>Diciembre (preliminar)</t>
  </si>
  <si>
    <t>A pesar de haber ajustado la meta hacía abajo, la meta no va poder cumplirse en 2018 en atención a las visicitudes de financiación y retraso de las obras para la jornada única</t>
  </si>
  <si>
    <t>Junio</t>
  </si>
  <si>
    <t xml:space="preserve">El área informa: El compromisos tienen una alta probabilidad de ser cumplidos, no obstante está sujeto a los acuerdos que se concerten con los Representantes de las Kumpañy. </t>
  </si>
  <si>
    <t>ÁREA</t>
  </si>
  <si>
    <t>Dirección de Cobertura y Equidad EPBM</t>
  </si>
  <si>
    <t>Subdirección de Acceso</t>
  </si>
  <si>
    <t>Dirección de Fortalecimiento a la Gestión Territorial</t>
  </si>
  <si>
    <t>Subdirección de Permanencia</t>
  </si>
  <si>
    <t>Dirección de Calidad EPBM</t>
  </si>
  <si>
    <t>Dirección de Calidad EPBM - Subdirección de Fomento de Competencias</t>
  </si>
  <si>
    <t>Dirección de Calidad EPBM - Jornada Única</t>
  </si>
  <si>
    <t>Dirección de Calidad EPBM -  PTA</t>
  </si>
  <si>
    <t>Dirección de Fomento ES</t>
  </si>
  <si>
    <t>Oficina de Tecnología y sistemas de información</t>
  </si>
  <si>
    <t>Dirección de Fomento ES - Vicepresidencia Crédito - ICETEX</t>
  </si>
  <si>
    <t>Dirección de Calidad ES</t>
  </si>
  <si>
    <t>Vicepresidencia Crédito - ICETEX - Dirección de Fomento ES</t>
  </si>
  <si>
    <t>Asesora del Viceministerio de Educación Preesclar Básica y Media de grupos étnicos</t>
  </si>
  <si>
    <t>Dirección de Primera Infancia</t>
  </si>
  <si>
    <t>Subdirección de Fomento de Competencias</t>
  </si>
  <si>
    <t>META_ACUM2016</t>
  </si>
  <si>
    <t>META_ACUM 2017</t>
  </si>
  <si>
    <t>Avance_Acum2016</t>
  </si>
  <si>
    <t>Avance_Acum2017</t>
  </si>
  <si>
    <t>META 2018</t>
  </si>
  <si>
    <t>META_ACUM 2018</t>
  </si>
  <si>
    <t>REZAGO</t>
  </si>
  <si>
    <t>PENDIENTE</t>
  </si>
  <si>
    <t>PENDIENTE 2016 Y 2017</t>
  </si>
  <si>
    <t>A pesar de haber ajustado la meta hacía abajo, la meta no va poder cumplirse en 2018 en atención a las vicisitudes de financiación y retraso de las obras para la jornada única</t>
  </si>
  <si>
    <t>Nunca se ha cumplido la meta conforme a lo establecido por cada vigencia. Es uno de los indicadores que definitivamente no se están cumpliendo.</t>
  </si>
  <si>
    <t>Etiquetas de fila</t>
  </si>
  <si>
    <t>Total general</t>
  </si>
  <si>
    <t>Cuenta de Nombre del Indicador</t>
  </si>
  <si>
    <t>% CUMP VS META ACUMULADA</t>
  </si>
  <si>
    <t>SIN INFORMACIÓN CIERRE 2017</t>
  </si>
  <si>
    <t>Suma de % CUMP VS META ACUMULADA2</t>
  </si>
  <si>
    <t>Tasa de cobertura bruta en educación media en la zona rural</t>
  </si>
  <si>
    <t>Porcentaje de docentes oficiales de educación preescolar, básica y media con formación de postgrado</t>
  </si>
  <si>
    <t>Porcentaje de población evaluada en el sector oficial en las pruebas SABER 5 que sube de nivel de logro, respecto a la línea base</t>
  </si>
  <si>
    <t>Porcentaje de estudiantes que mejora en el nivel de desempeño de las pruebas SABER PRO</t>
  </si>
  <si>
    <t>Sistema Educativo Indígena Propio como política educativa para los pueblos indígenas formulado e implementado</t>
  </si>
  <si>
    <t>Capacidad instalada en los pueblos indígenas para que sean certificados, implementando el decreto 1953 de 2014</t>
  </si>
  <si>
    <t>repetido</t>
  </si>
  <si>
    <t>NO ES PND</t>
  </si>
  <si>
    <t>Tiene problema de definición de la metodología de cálculo</t>
  </si>
  <si>
    <t>Básica</t>
  </si>
  <si>
    <t>superior</t>
  </si>
  <si>
    <t>Cumple</t>
  </si>
  <si>
    <t>No Cumple</t>
  </si>
  <si>
    <t>Sin_Dato2017</t>
  </si>
  <si>
    <t>Total por Despacho</t>
  </si>
  <si>
    <t>Total x Estado</t>
  </si>
  <si>
    <t>UNIDAD DE MEDIDA</t>
  </si>
  <si>
    <t>TIPO DE ACUMULACIÓN</t>
  </si>
  <si>
    <t>TIPO INDICADOR</t>
  </si>
  <si>
    <t>Producto</t>
  </si>
  <si>
    <t>PERIODICIDAD</t>
  </si>
  <si>
    <t>Anual</t>
  </si>
  <si>
    <t>Trimestral</t>
  </si>
  <si>
    <t>Meta Intermedia</t>
  </si>
  <si>
    <t>Semestral</t>
  </si>
  <si>
    <t>Estudiantes beneficiados con nuevos créditos condonables</t>
  </si>
  <si>
    <t>Stock</t>
  </si>
  <si>
    <t>Porcentaje</t>
  </si>
  <si>
    <t>Capacidad</t>
  </si>
  <si>
    <t>Resultado</t>
  </si>
  <si>
    <t>Tasa</t>
  </si>
  <si>
    <t>Reducción</t>
  </si>
  <si>
    <t>Acumulado</t>
  </si>
  <si>
    <t>Sedes rurales</t>
  </si>
  <si>
    <t>Flujo</t>
  </si>
  <si>
    <t>Gestión</t>
  </si>
  <si>
    <t>Jovenes y adultos</t>
  </si>
  <si>
    <t>Estudiantes</t>
  </si>
  <si>
    <t>Sedes educativas</t>
  </si>
  <si>
    <t>Personas</t>
  </si>
  <si>
    <t>Aulas</t>
  </si>
  <si>
    <t>Razon</t>
  </si>
  <si>
    <t>Docentes</t>
  </si>
  <si>
    <t>Bimestral</t>
  </si>
  <si>
    <t>Tutores</t>
  </si>
  <si>
    <t>Índice</t>
  </si>
  <si>
    <t>Colegios oficiales</t>
  </si>
  <si>
    <t>Mensual</t>
  </si>
  <si>
    <t>Cupos</t>
  </si>
  <si>
    <t>Departamentos</t>
  </si>
  <si>
    <t>Puestos</t>
  </si>
  <si>
    <t>Graduados</t>
  </si>
  <si>
    <t>Estudiantes indígenas</t>
  </si>
  <si>
    <t xml:space="preserve">Secretarias de Educación </t>
  </si>
  <si>
    <t>Municipios</t>
  </si>
  <si>
    <t>NO</t>
  </si>
  <si>
    <t>SI</t>
  </si>
  <si>
    <t>TABLERO PRES.</t>
  </si>
  <si>
    <t>OBSERVACIÓN</t>
  </si>
  <si>
    <t>LB</t>
  </si>
  <si>
    <t>Se aprobó modificación de metas mediante oficio 20173600706191 del 23/11/2017.
Estado: se revisa que las metas están aplicadas y verificadas en SINERGIA. OK</t>
  </si>
  <si>
    <t>El MEN mediante oficio 2017-EE-154579 solicitó ajustes de metas así: 2015: 77,1%; 2016: 77,5%; 2017:81,9% y 2018: 80%. Mediante oficio 20173600747331 del 18/12/2017, DNP informa que no es viable ajustar la solicitud toda vez que las razones que originan la solicitud de cambio eran conocidas por el MEN cuando se formularon las metas; adicionalmente por ser meta trazadora del CONPES-ODS no debe cambiarse.
Estado actual: metas iniciales vigentes en SINERGIA.</t>
  </si>
  <si>
    <t>El MEN mediante oficio 2017-EE-108574 del 29/06/17, solicitó ajuste a las metas 2017, 2018 y MC así: 2017: 4,44% a 5,25%; 2018: 3,8% a 5,17% y MC: 3,8% a 5,17%. Mediante oficio de DNP 20173600747271 del 18/12/17 se viabiliza y autoriza ajuste en consistencia con la justificación enviada por el MEN y alineaciòn con las metas aprobadas por el CONPES-ODS que incluyen este indicador. 
Estado: ajustes aplicados y revisados en SINERGIA. OK</t>
  </si>
  <si>
    <t>El MEN mediante oficio 2017-EE-108574 del 29/06/17  solicitó ajustes en las metas 2017 y 2018 y MC así: 2017: 35.000 y 2018: 30.000, ajustándose los acumulados: 2015: 121.397; 2016: 292.218; 2017: de 478.487 a 327.218 y 2018: 676.000 a 357.218; MC: De 676.000 a 357.218. Según oficio de DNP 20173600747271 del 18/12/17 se viabilizó y autorizó modificación para las vigencias 2017 y 2018 en virtud a la reducción del ppto, pero no se permitió cambio de 2015 y 2016 por ser metas cerradas. 
Estado: Se revisó coherencia y ajustes aplicados en SINERGIA.
Nota: MEN requiere ajuste en los reportes de avance así: 2015:71.577 y 2016: 156.736, toda vez que en SINERGIA no se presenta en forma acumulada.</t>
  </si>
  <si>
    <t>El MEN solicitó el ajuste a la LB de 71,7% a 71,47% y de la MC de 86,31% a 75,67%, lo cual fue aprobado por DNP mediante oficio No. 20153600472231 del 10/08/2015.
Estado actual: No se identifican ajustes en SINERGIA, ni requerimientos adicionales por parte de DNP para este ajuste, pero se evidencia que no hay datos disponibles en metas anualizadas.</t>
  </si>
  <si>
    <t>El MEN solicitó el ajuste a la LB de 73% a 60,74% y de la MC de 84,33% a 71,13%, lo cual fue aprobado por DNP mediante oficio No. 20153600472231 del 10/08/2015.
Estado actual: No se identifican ajustes en SINERGIA, ni requerimientos adicionales por parte de DNP para este ajuste.</t>
  </si>
  <si>
    <t>El MEN solicitó ajuste de MC pasando de 135.964 a 113.658. Mediante oficio 20153600472231 del 10/08/15, DNP aprobó los ajustes de MC.
Estado actual: se revisó en SINERGÍA y continúa sin ajustar.</t>
  </si>
  <si>
    <t xml:space="preserve">Mediante oficio  20153600472231 del 10/08/15 DNP viabiliza y aprueba los ajustes solicitados de LB 73,81% a 75,72% y meta de 86,64% a 78,32%.
Estado actual: fue aplicado el ajuste en la MC pero no en la línea base. </t>
  </si>
  <si>
    <t>El MEN solicitó ajuste de LB pasando de 404.056 a 362.740 y MC pasando de 481.979 a 366.740. Mediante oficio 20153600472231 del 10/08/15, DNP aprobó ajustes, pero solo actualizó en SINERGIA la MC quedando pendiente la linea de base.
Estado actual: se revisó en SINERGÍA y continúa igual.</t>
  </si>
  <si>
    <t>Mediante oficio 20153600472231 del 10/08/15 no se considera viable los ajustes solicitados  de LB y Meta</t>
  </si>
  <si>
    <t xml:space="preserve">El MEN solicitó ajustes en la LB de 72,86% a 72,76% y en la MC de 83,33% a 77,09%. Mediante oficio 20153600472231 del 10/08/15 el DNP aprueba ajustes.
Estado actual: Se identifica ajuste en SINERGIA de la MC pero no en la LB. </t>
  </si>
  <si>
    <t>El MEN solicitó ajustar MC: De 582.001 a 500.798. Mediante oficio 20153600472231 del 10/08/15 DNP NO APRUEBA modificación en virtud a que la justificación tiene datos diferentes de LB. El MEN mediante oficio 2015-EE-124764 del 23/12/15 dio respuesta y amplía la solicitud, pidiendo además ajuste en LB de 492.798 a 432.372 (cifra oficial cierre 2014) y solicita ajustar META 2018: De 582.001 a 500.798 y MC: 582.001 a 500.798.
Estado actual: No se encuentra respuesta al respecto. En SINERGIA continúan apareciendo metas iniciales.</t>
  </si>
  <si>
    <t>El MEN solicitó ajustes a LB de 659.000 a 690.512 (cifra Dic2014) y MC de 457.081 a 127.104. Mediante oficio 20153600472231 del 10/08/15 se aprueba ajuste en LB pero no en meta en razón a que el valor propuesto hace referencia a personas que pasarían por el programa. El MEN mediante oficio 2015-EE-124764 de 23/12/15 dio respuesta y justifico la solclitud, solicitando entonces ajustar metas así: 2015:669.101; 2016: 639.206; 2017:603.443 y 2018:553.408; MC: 553.408. 
Estado actual: No se encuentra respuesta al respecto. en SINERGIA no se encuentran aplicados ajustes ni encuentran datos de metas anuales.</t>
  </si>
  <si>
    <t>El MEN mediante oficio 2017-ee-154579 solicitó ajustar la metodología para incluir aulas habilitadas y contratadas. Mediante oficio 20173600747331 del 18/12/17 se viabilizó la inclusión de aulas habilitadas, pero no es viable incluir contratadas en virtud a que el indicador es de producto y no de resultado y no es posible contar productos no terminados que correspondan a etapas de gestión.  
Estado Actual: en SINERGIA hay consistencia con la información del MEN.
En reunión del 08/02/18 DNP solicita al MEN ajustar esta serie de años anteriores.</t>
  </si>
  <si>
    <t>El MEN solicitó el ajuste de la LB: De 61,98% a 57,48% y de MC de 71,07% a 57,79%. Mediante oficio 20155320093463 del 04/08/15 DNP responde que no se aprueba el ajuste porque la meta no es consistente con el aumento de 10pp en meta nacional y 5pp en meta región de la tasa de cobertura bruta en media y no se justifica claramente el ajuste. Con oficio 2015-EE-124764 del 23 de diciembre 2015, el MEN dio respuesta y justifico la solclitud de ajuste a este indicador.
Estado actual: No se identificó respuesta oficial sobre este ajuste; en SINERGIA continúa como las metas iniciales.</t>
  </si>
  <si>
    <t>El MEN mediante oficio 2017-EE-154579 solicitó ajustes pasando de 2017:20% a 13% y 2018: 30% a 20% ; DNP mediante oficio 20173600747331 del 18/12/2017 DNP viabilizó y autorizó modificación de metas 2017 y 2018 pasando de 20% a 13% en 2017 y de 30% a 20% en 2018.
Estado: se validó ajuste aplicado en SINERGIA- OK</t>
  </si>
  <si>
    <t xml:space="preserve">Mediante correo solicitud de ajuste remitido a Sergio valdivieso, se solicitó cambiar los datos correspondientes al avance 2016 pasando de 25,85 (preliminar 2016) a 26,11 (cierre definitivo).
Estado actual: PENDIENTE POR AJUSTAR. </t>
  </si>
  <si>
    <t>En revisión de los registros en SINERGIA se identificó que existe una inconsistencia en la meta 2015, la cual corresponde a 31,20% y no 32%, como aparece reportada. 
Estado actual: PENDIENTE POR AJUSTAR</t>
  </si>
  <si>
    <t>Mediante oficio 2015-EE070501 del 07/06/2015 el MEN solicita el ajuste a la LB, pasando de 4.293 a 403. Mediante oficio 20153600472231 del 10/08/2015 DNP responde que está en desacuerdo con la solicitud, en virtud a que el tipo de acumulación no es comparable con la meta cuatrenio. 
En oficio 2015-EE124764 del 23/12/15 el MEN hace observaciones a la respuesta de DNP, reiterando la solicitud de ajuste de LB de 4.293 a 5.703 justificado en que es la cifra de cierre 2.014, solicitud que fue reiterada por 3ra vez en oficio del 23/08/2016 (NO CORDIS) y donde además se remite solicitud de ajuste de la serie, del cual no se ha recibido respuesta oficial.
Estado actual: La metas no se han ajustado en SINERGIA, siguien apareciendo así: 2015: 1.000 Avance: 1.263 ; 2016: 2.335 Avance 3.713; 2017: 2.367 y, 2018: 2.298. Según el tipo de acumulación, las metas deben ser: 2016: 3.335; 2017: 5.702 y 2018: 8000; MC: 8.000. Además la Linea de Base tampoco está ajustada. Esta ultima debe quedar en 5.703 y está en 4.293.
Nota: En reunión del 08/02 DNP solicita revisar y ajustar la serie. Se solicita acompañamiento de DNP para trabajar con el área el ajuste del tipo de acumulación.</t>
  </si>
  <si>
    <t>Mediante oficio 20153600472231 del 10/08/2015, DNP aprueba solicitud de ajuste de LB de 29% a 9,4% y MC de 32,5% a 12%.
Estado actual: Pese a que en SINERGIA se realizaron ajustes, quedó la LB registrada en 94; respecto a la MC el dato no corresponde a la solicitud inicial que es de 11,96 y no 12 como aparece el registro.</t>
  </si>
  <si>
    <t xml:space="preserve">Mediante correo solicitud de ajuste remitido a Sergio valdivieso, se solicitó cambiar los datos correspondientes al avance 2016 pasando de 4.230 (preliminar 2016) a 4.188 (cierre definitivo).
Estado actual: PENDIENTE POR AJUSTAR. </t>
  </si>
  <si>
    <t>El MEN mediante oficio 2017-EE-154579 solicitó ajustes a metas 2017: De 1.527.580 a 1.000.000 y Meta 2018: De 2.291.371 a 1.500.000; mediante oficio 20173600747331 del 18/12/2017 DNP viabilizó y autorizó modificación de metas 2017, 2018 y MC. Adicionalmente, mediante oficio 2016-EE-118976 del 09/06/2016, el MEN solicitó ajustes a los registros de avance de 2015: de 316.895 a 316.917 y para el indicador de porcentaje: de 4,6% a 4,3%. 
Estado actual: se validó ajuste de metas aplicado en SINERGIA; PENDIENTE POR AJUSTAR AVANCES.</t>
  </si>
  <si>
    <t>El MEN mediante oficio 2017-EE-108574 del 29/06/17 solicitó ajuste de LB de 14,6% a 14,9% y avance 2016 de 16,5% a 16,9%. Mediante oficio 20173600747271 del 18/12/17 se viabiliza y autoriza modificación en virtud a modificaciones derivadas de procesos de auditoría y validación de daqtos 2014 y su efectos sobre los reportes de 2015 y 2016.
Nota: en oficio 20163600716951 del 14/09/16 DNP consideró improcedente la misma solicitud de ajuste.
Estado actual: se revisa en SINERGIA ajuste aplicado OK</t>
  </si>
  <si>
    <t xml:space="preserve">Estado actual: DNP esta revisando tipo de acumulación del indicador  para hacer efectivo el  avance 2017. </t>
  </si>
  <si>
    <t>El MEN mediante oficio 2017-EE-107584 del 29/06/17 solicitó ajustes a avances 2015: De 15,4% a 21,6%  y 2016: De 18,62% a 26,1% por variación en la formula de cálculo. Mediante oficio 20173600747271 del 18/12 el DNP viabiliza y aprueba modificación en virtud a que la fórmula corresponde a No. programas acreditados/ universo programas acreditables y no con programas con registro calificado vigente; DNP solicita ajuste en ficha técnica.
Estado actual: En reunión con DNP del 08/02 esta Entidad solicita ajuste de la serie</t>
  </si>
  <si>
    <t xml:space="preserve">Mediante oficio 20173600747271 del 18/12 se viabiliza y aprueba el cambio del avance 2015 pasando de 20,1% A 4,7% explicado en las revisiones a las cifras consolidadas del ICFES. dicho cambio fue solicitado por el MEN mediante oficio 2017-EE-107584 del 29/06/17
Estado actual: DNP solicitó el envío de ficha técnica y revisión de meta y serie. </t>
  </si>
  <si>
    <t xml:space="preserve">Mediante oficio 20173600747271 del 18/12 se viabiliza y aprueba el cambio del avance 2015 pasando de 27,1% a 17%, explicado en las revisiones a las cifras consolidadas del ICFES. dicho cambio fue solicitado por el MEN mediante oficio 2017-EE-107584 del 29/06/17.
Estado actual: DNP solicitó el envío de ficha técnica y revisión de meta y serie. </t>
  </si>
  <si>
    <t xml:space="preserve">El MEN solicita mediante oficio 2017-ee-108574 de 29/06/17 ajuste avance 2016; mediante oficio 20173600747271 del 18/12/17 DNP viabiliza y aprueba el ajuste al avance 2016: De 11,3% a 9,1%, explicado por modificaciones derivadas de procesos de auditoría y validación de datos reportados en 2014. 
Estado actual: DNP esta revisando tipo de acumulación del indicador  para hacer efectivo el cambio aprobado en avance 2016. </t>
  </si>
  <si>
    <t xml:space="preserve">El MEN mediante oficio 2017-ee-108574 del 29/06/17 solicitó ajuste a la LB De 168.492 a 168.664 y avance 2015 de 27.165 a 6.230. Mediante oficio 20173600747271 del 18/12/17 DNP viabiliza y autoriza el ajuste, en virtud a las modificaciones derivadas de los procesos de auditoría y validación de datos en 2014 y del avance por cuanto al ajuste de la LB; así mismo se  emite concepto favorable para ajuste en el tablero de Presidente.
Estado: Se revisan ajustes aplicados en SINERGIA. OK </t>
  </si>
  <si>
    <t>El MEN mediante oficio 2017-EE-108574 del 29/06/17 solicita ajustes a LB de 46,1% a 47,8% y avance 2016 de 51,6% a 51,5%. Mediante oficio 20173600747271 del 18/12/17 DNP viabiliza y autoriza el ajuste.
Estado: revisados ajustes aplicados en SINERGIA. OK</t>
  </si>
  <si>
    <t>El MEN mediante oficio 2017-ee-108574 del 29/06/17 solicitó ajustes a LB de 545.444 a 546.631 y avances 2015: de 155.365 a 72.898 y 2016: de 258.144 a 173.782. Mediante oficio 20173600747271 del 18/12/17 se viabiliza y autoriza el ajuste.
Estado: verificación de ajustes aplicados en SINERGIA. OK</t>
  </si>
  <si>
    <t>El MEN mediante oficio 2017-EE-108574 del 29/06/17 solicita ajuste avances 2016: De 27 a 25; mediante oficio 20173600747271 del 18/12 DNP viabiliza y aprueba el ajuste teniendo en cuenta que el dato correspondía a un valor preliminar; la reducción obedeció a una caida de la matrícula de INFOTEP. 
Estado Actual: En reunión con DNP del 08/02 esta Entidad indica que esta revisando tipo de acumulación del indicador  para hacer efectivo el cambio aprobado en avance 2016 y requiere al MEN ajustar la serie.</t>
  </si>
  <si>
    <t>El MEN mediante oficio 2017-EE-108574 del 29/06/17 solicitó ajustar la LB pasando de 10,3% a 10,1%. Mediante oficio 20173600747274 del 18/12/2017 DNP viabiliza y autoriza el ajuste explicado en modificaciones derivadas de procesos de auditoría y validación de los datos reportados en 2014.
Estado: se revisa aplicación y ajuste en SINERGÍA. OK</t>
  </si>
  <si>
    <t>Mediante oficio 2015-IE-124764 del 23/12/15 el MEN solicitó  ajustes a la LB de 23.065 a 26.889, justificado en el cambio de nombre del indicador que amplió su alcance y que fuera aprobado en agosto 2015.sobre el particular, no se encontró en la carpeta copia del oficio de aprobación.
Estado Actual: en SINERGÍA se realizaron los cambios de metas 2015: en 18.347 y 2016: en 34.287; las metas 2017 y 2018 se conservan como inicialmente estaban planteadas. No se observan cambios a LB. 
En reunión del 08/02 DNP indica que debe revisar y ajustarse la serie, toda vez que la serie no corresponde al tipo de acumulación (acumulado).
El dato de avance 2015 no corresponde, en SINERGIA aparece 13.498 y en realidad en el TP es de 20.313. XA AJUSTAR
Nota: La Dirección de Fomento debe definir con Icetex, la metodología utilizada para el cálculo y validar avances 2015</t>
  </si>
  <si>
    <t>Mediante oficio 2017-EE-108574 del 29/06/2017 el MEN solicita ajuste de la LB a 8.893 y avances 2015: 9.477 y 2016: 10.843, que fueron viabilizados y aprobados mediante oficio 20173600747271 del 18/12/17. 
No obstante, DNP ha solicitado en reuniòn del 08/02, revisar y solicitar el ajuste a la serie toda vez que es indicador de capacidad y en este sentido, existe inconsistencia respecto a la línea base, que debe ser ajustada por la DF.
Estado Actual: Ajustes aplicados en SINERGIA; pendiente revisar y ajustar SERIE.</t>
  </si>
  <si>
    <t>Mediante oficio 20155320093463 del 04/08/15 DNP aprueba ajuste de de metas anuales (no encontre oficio del MEN solicitando). 
Estado actual: Se identifican las siguientes diferencias: Ficha y Excel: 0;4;8,15;25;25,  Sinergia: 0;4;12;20;25;25
Nota.  Solicitar a DNP ajustar de acuerdo con la aprobación del DNP. solicitar copia del oficiio de solicitud del MEN</t>
  </si>
  <si>
    <t>Con oficios No. 20155320093463 y No. 20153600472231, el DNP aprobó el cambio de la Linea de base, sin embargo no se ve reflejado en SINERGIA.
DNP aprobo cambio de LB en oficio de agosto de 2015 a 82.723, que aun no aparece en el aplicativo</t>
  </si>
  <si>
    <t>El MEN solicitó ajustar LB de 13.429 a 14.623 (dato oficial cierre 2014) y MC: De 72.889 a 7.000. Mediante oficios No. 20155320093463 y No. 20153600472231 DNP aprobó los ajustes, sin embargo solo se adelantó para la MC, y NO para la LB. 
Estado Actual: se revisa en SINERGIA y continúa igual. En reunión con DNP del 08/02 esta Entidad informa que hay un problema con la serie de la LB que el MEN debe revisar y ajustar.</t>
  </si>
  <si>
    <t>Mediante oficios No. 20155320093463 y No. 20153600472231 de agosto/2015, DNP aprobó ajuste de LB DE 2.709 a 8.372 y MC de 4.004 a 2.000.
Estado actual: No se han realizado ajustes apllicados en SINERGIA; ademas la ficha y el Excel no muestran los valores coherentes por año en relación con el cambio solicitado. Datos de serie no concordantes</t>
  </si>
  <si>
    <t>Mediante oficio 20173600747271 del 18/12/17 DNP aprobó los ajustes solicitados por el MEN en oficio 2017-EE-107584 del 29/06/17;  relacionados con descripción, metodología y días de rezago en la ficha técnica del indicador.
Estado actual: ajustado OK</t>
  </si>
  <si>
    <t>Nota: Confirmar con DNP porqué la serie en SINERGIA está incompleta.</t>
  </si>
  <si>
    <t>El MEN, mediante oficio 2017-EE-154579 solicitó ajustes en las metas así: 2015: 1.000 a 2.548; 2016: 15.000 a 1.000; 2017: 15.000 a 1.100 y 2018: 15.000 a 2.400; no obstante mediante oficio 20173600747331 del 18/12/2017 el DNP informa que no es viable considerando que el cambio representa modificación de metodologìa con afectaciones en metas compartidas con otros sectores, que debieron ser concertadas con la CIPI y la solicitud fue presentada en extemporaneidad.
Estado: Pese a la observación anterior, en SINERGIA se identifican metas en 0.</t>
  </si>
  <si>
    <t>Las metas proyectadas para este indicador eran: LB: 94; 2015:12; 2016: 95; 2017:95; 2018:95; MC: 95. Sin embargo, en SINERGIA, la meta 2015 se presenta como 94. 
Estado actual: PENDIENTE POR AJUSTAR.
Nota OAPF-MEN: Se presentan inconsistencias en los resultados de este indicador, toda vez que los avances cuantitativos por debajo de la línea base representan avances negativos; en este sentido, se ha evidenciado que el tipo de acmulación deberá ajustarse a Flujo o acumulado para proceder a aprobar los avances cuantitativos obtenidos en cada vigencia o la línea base en 0. Se solicita acompañamiento de DNP para trabajar con el área el ajuste del tipo de acumulación.</t>
  </si>
  <si>
    <t>ANALISTA OAPF</t>
  </si>
  <si>
    <t>SIN DATO</t>
  </si>
  <si>
    <t>N/A</t>
  </si>
  <si>
    <t>31,20% 
eran 3.000 se solicitó cambio por 2.890</t>
  </si>
  <si>
    <r>
      <t xml:space="preserve">33%
</t>
    </r>
    <r>
      <rPr>
        <b/>
        <sz val="11"/>
        <rFont val="Calibri"/>
        <family val="2"/>
        <scheme val="minor"/>
      </rPr>
      <t>eran 4.666 se solicitó cambio por 4.220</t>
    </r>
  </si>
  <si>
    <t>38%
eran 17.000 se ajustó a 8.110</t>
  </si>
  <si>
    <t>38%
500</t>
  </si>
  <si>
    <t>38%
8.110</t>
  </si>
  <si>
    <t>36,6%
500</t>
  </si>
  <si>
    <t>33% eran 4.666 se solicitó cambio por 4.220</t>
  </si>
  <si>
    <t>36,60%
7610</t>
  </si>
  <si>
    <t>Avance 
2018</t>
  </si>
  <si>
    <t>Avance_Acum2018</t>
  </si>
  <si>
    <t>% CUMPL VS META_2018</t>
  </si>
  <si>
    <t>dato preliminar a marzo 2018</t>
  </si>
  <si>
    <t>dato a diciembre 2017- ya se cumplió la meta</t>
  </si>
  <si>
    <t>Preliminar Febrero</t>
  </si>
  <si>
    <t>dato a marzo</t>
  </si>
  <si>
    <t>dato a diciembre 2017</t>
  </si>
  <si>
    <t>N.D.</t>
  </si>
  <si>
    <t>42,93%
7.110</t>
  </si>
  <si>
    <t>DATO A NOVIEMBRE</t>
  </si>
  <si>
    <t>TECNOLOGÍA</t>
  </si>
  <si>
    <t>Superior</t>
  </si>
  <si>
    <t>Tecnología</t>
  </si>
  <si>
    <t>Total indicadores PND 2014-2018</t>
  </si>
  <si>
    <t>Total</t>
  </si>
  <si>
    <t>Con reporte oficial 2017</t>
  </si>
  <si>
    <t>Responsable Indicador</t>
  </si>
  <si>
    <t>Pendiente reporte 2017</t>
  </si>
  <si>
    <t>Seguimiento Tablero Presidente</t>
  </si>
  <si>
    <t>MINISTERIO DE EDUCACIÓN NACIONAL</t>
  </si>
  <si>
    <t>OFICINA ASESORA DE PLANEACIÓN Y CONTROL</t>
  </si>
  <si>
    <t>REPORTE INDICADORES- CIERRE 2017</t>
  </si>
  <si>
    <t>36,60%
7.610</t>
  </si>
  <si>
    <t>PLAN NACIONAL DE DESARROLLO "TODOS POR UN NUEVO PAÍS" 2014-2018</t>
  </si>
  <si>
    <t>Secretarias de Educación certificadas beneficiadas con acciones del programa de educación para la sexualidad y construcción de ciudadanía.</t>
  </si>
  <si>
    <t>CON DATO DE CIERRE</t>
  </si>
  <si>
    <t>NOMBRE DEL INDICADOR 
(A-Z)</t>
  </si>
  <si>
    <t>PENDIENTE DATO DE CIERRE</t>
  </si>
  <si>
    <t>PERIOD.</t>
  </si>
  <si>
    <t>TABL.</t>
  </si>
  <si>
    <t>META CUATRIENIO 2015-2018</t>
  </si>
  <si>
    <t>AVANCE 
2017</t>
  </si>
  <si>
    <t>AVANCE_ACUM. 2017</t>
  </si>
  <si>
    <t>UND.</t>
  </si>
  <si>
    <t>Fuente: MEN- OAPF, Grupo Proyectos- Reporte Sinergia</t>
  </si>
  <si>
    <t>Entidades territoriales (con presencia de poblacion rom en sus EE) que cuentan con lineamientos de educación intercultural desde los usos y costumbres del Pueblo Rrom desde la primera infancia hasta la educación superior, diseñados y socializados</t>
  </si>
  <si>
    <t>Porcentaje de niños y niñas en primera infancia que cuentan con atenciones priorizadas en el marco de la atención integral</t>
  </si>
  <si>
    <t>NOTA</t>
  </si>
  <si>
    <t>OFICIO 2: sigue igual; no se han ajustado avances 2016 y 2017</t>
  </si>
  <si>
    <t>FORMATO CARGUE MASIVO: NO APARECE EN SINERGIA; NO SE PUEDE EVIDENCIAR SI SE INCLUYÓ AVANCE</t>
  </si>
  <si>
    <t>2017 Aun no disponible</t>
  </si>
  <si>
    <t>2017 aún no disponible</t>
  </si>
  <si>
    <t>2017 Aún no disponible</t>
  </si>
  <si>
    <t>PARA SOLICITAR CAMBIO A FLUJO IGUAL QUE LA DE RAZONAMIENTO CUANTITATIVO</t>
  </si>
  <si>
    <t>meta cuatrienio inconsistente</t>
  </si>
  <si>
    <t>cumplimiento al corte</t>
  </si>
  <si>
    <t>Indicador</t>
  </si>
  <si>
    <t>Und.</t>
  </si>
  <si>
    <t>Tipo Acumulación</t>
  </si>
  <si>
    <t>DESPACHO</t>
  </si>
  <si>
    <t>Avance Acum2018</t>
  </si>
  <si>
    <t>Dependencia</t>
  </si>
  <si>
    <t>TABLERO DE CONTROL INDICADORES PLAN NACIONAL DE DESARROLLO "TODOS POR UN NUEVO PAÍS 2014-2018"</t>
  </si>
  <si>
    <t>Meta Cuatrienio</t>
  </si>
  <si>
    <t>Cumplimiento vs MC</t>
  </si>
  <si>
    <t>Dato a corte</t>
  </si>
  <si>
    <t>RESULTADO PROMEDIO DESPACHO BÁSICA</t>
  </si>
  <si>
    <t>RESULTADO PROMEDIO DESPACHO SUPERIOR</t>
  </si>
  <si>
    <t>RESULTADO PROMEDIO OFICINA TECNOLOGIA</t>
  </si>
  <si>
    <t>OFICINA ASESORA DE PLANEACIÓN Y FINANZAS</t>
  </si>
  <si>
    <t>CORTE SEGUIMIENTO</t>
  </si>
  <si>
    <t>meta cuatrienio y lb inconsistente; no hay datos de metas en sinergia</t>
  </si>
  <si>
    <t>PRESENTA ERROR ASOCIADO A TIPO DE ACUMULACIÓN; los reportes están bien, pero suman al final y no deben sumar</t>
  </si>
  <si>
    <t>CONVENCIONES</t>
  </si>
  <si>
    <t>Calificación</t>
  </si>
  <si>
    <t>Cumplimiento</t>
  </si>
  <si>
    <t>Mayor que 90%</t>
  </si>
  <si>
    <t>Cumplida/ Muy probable</t>
  </si>
  <si>
    <t>Entre 80% y 90%</t>
  </si>
  <si>
    <t>Probable</t>
  </si>
  <si>
    <t>Entre 70% y 80%</t>
  </si>
  <si>
    <t>Poco probable</t>
  </si>
  <si>
    <t>Menor que 70%</t>
  </si>
  <si>
    <t>Improbable/ En riesgo</t>
  </si>
  <si>
    <t>ESCENARIO IDEAL (AJUSTES APLICADOS)</t>
  </si>
  <si>
    <t>Probabilidad cumplimiento</t>
  </si>
  <si>
    <t>Meta Cumplida</t>
  </si>
  <si>
    <t>En riesgo</t>
  </si>
  <si>
    <t>Dirección de Cobertura y Equidad EPBM- Subdirección de Acceso</t>
  </si>
  <si>
    <t>Dirección de Cobertura y Equidad EPBM- Subdirección de Permanencia</t>
  </si>
  <si>
    <t>Meta cumplida</t>
  </si>
  <si>
    <t>REPORTE GENERAL- ESTADO ACTUAL</t>
  </si>
  <si>
    <t>Factor para medición cumpl. SINERGIA</t>
  </si>
  <si>
    <t>Línea Base</t>
  </si>
  <si>
    <t>Period.</t>
  </si>
  <si>
    <t>ESCENARIO IDEAL (CON AJUSTES APLICADOS)</t>
  </si>
  <si>
    <t>Código Ind</t>
  </si>
  <si>
    <t>Brecha urbano -rural</t>
  </si>
  <si>
    <t>Gratuidad (matrícula oficial)</t>
  </si>
  <si>
    <t>Tasa de deserción intra-anual del sector oficial</t>
  </si>
  <si>
    <t>Estudiantes beneficiados con Jornada única</t>
  </si>
  <si>
    <t>Tasa de Supervivencia</t>
  </si>
  <si>
    <t>Años promedio de educación de la población de 15 años y más</t>
  </si>
  <si>
    <t>Tasa de cobertura en educación superior</t>
  </si>
  <si>
    <t>Indicadores</t>
  </si>
  <si>
    <t>Docentes de educación superior con formación doctoral</t>
  </si>
  <si>
    <t>Infraestructura (Aulas entregadas)</t>
  </si>
  <si>
    <t>La cifra de aulas de 2007 en realidad corresponde al total de aulas entregadas durante el periodo 2002-2009</t>
  </si>
  <si>
    <t>Dato a 2016</t>
  </si>
  <si>
    <t>PEND</t>
  </si>
  <si>
    <t>2017 Aún pendiente</t>
  </si>
  <si>
    <t>VIGENCIA 2018</t>
  </si>
  <si>
    <t xml:space="preserve">Avance </t>
  </si>
  <si>
    <t>NOMBRE INDICADOR</t>
  </si>
  <si>
    <t>Dato a diciembre 2017</t>
  </si>
  <si>
    <t>Dato a diciembre 2016</t>
  </si>
  <si>
    <t>DNP consideró inviable ajustes</t>
  </si>
  <si>
    <t>falta reportar 2017-dic</t>
  </si>
  <si>
    <t>OFICIO 2: sigue avance 2016 sin ajustar</t>
  </si>
  <si>
    <t>línea Base continúa sin ajustar</t>
  </si>
  <si>
    <t>No está reportado dato 2016; pendiente validación datos</t>
  </si>
  <si>
    <t>NO TIENE DATO 2016; PEDIR DATO</t>
  </si>
  <si>
    <t>VERIFICAR SI  HAY DATO 2017</t>
  </si>
  <si>
    <t>NO ESTÁ REPORTADO 2017</t>
  </si>
  <si>
    <t>solicitar ajuste dato 2016 que está en 9,30</t>
  </si>
  <si>
    <t>solicitar ajuste dato 2016 que está en 43,70</t>
  </si>
  <si>
    <t>Pendiente dato 2017</t>
  </si>
  <si>
    <t>OJO NO SE HA APLICADO CAMBIO META</t>
  </si>
  <si>
    <t>dato a mayo (oficial a marzo ACUM)- INFORMADO POR EL AREA TECNICA NO PLANEACIÓN</t>
  </si>
  <si>
    <t>Dato a mayo 2018: 25.878
Dato a marzo: 23.639 OFICIAL PND por ser trimestral</t>
  </si>
  <si>
    <t>Atención y asistencia integral a la primera infancia, la infancia, la adolescencia, la juventud y sus familias</t>
  </si>
  <si>
    <t>Cobertura y educación Prescolar, Básica y Media</t>
  </si>
  <si>
    <t>Fomento a la educación superior</t>
  </si>
  <si>
    <t>Infraestructura Educativa Primaria, Básica y Media</t>
  </si>
  <si>
    <t>Mejoramiento de la calidad en educación primaria, básica y media</t>
  </si>
  <si>
    <t>Mejoramiento de la Calidad en educación superior</t>
  </si>
  <si>
    <t>Educación</t>
  </si>
  <si>
    <t>Grupos Étnicos- Educación</t>
  </si>
  <si>
    <t>Región Caribe- Educación</t>
  </si>
  <si>
    <t>Región Eje Cafetero y Antioquia- Educación</t>
  </si>
  <si>
    <t>UND MED.</t>
  </si>
  <si>
    <t>TIPO DE ACUM.</t>
  </si>
  <si>
    <t>Que explica el bajo desempeño del indicador</t>
  </si>
  <si>
    <t>qué acciones ha realizado el área para subsanar el bajo desempeño</t>
  </si>
  <si>
    <t>DATO A 2016</t>
  </si>
  <si>
    <t>AREA RESPONSABLE</t>
  </si>
  <si>
    <t>PROGRAMA ESTRATÉGICO PND</t>
  </si>
  <si>
    <t>No.</t>
  </si>
  <si>
    <t>OBSERVACIONES</t>
  </si>
  <si>
    <t>% CUMP VS META ACUM CORTE 2017</t>
  </si>
  <si>
    <t>% CUMP VS META ACUM CORTE 2018- MAYO</t>
  </si>
  <si>
    <t>Dato a marzo 2018: 7; se toma en cuenta el último año total 2017</t>
  </si>
  <si>
    <t>dato a mayo 2018:39.985 ; el dato en SINERGIA es 31.954 por seguimiento anual</t>
  </si>
  <si>
    <t>43,48%
7.193</t>
  </si>
  <si>
    <t>Dato a diciembre de 2016</t>
  </si>
  <si>
    <t>Dato a diciembre 2017 (dato anualizado es acumulativo para 1er trimestre es 7)</t>
  </si>
  <si>
    <t>dato a mayo 2018:4920; se toma como referencia el anual 2017</t>
  </si>
  <si>
    <t>Reporte a Junio 2018</t>
  </si>
  <si>
    <t>Dato a junio 2018</t>
  </si>
  <si>
    <t>Dato a mayo 2018: 222.704; el último dato en SINERGIA es 209.370 por ser anualizado</t>
  </si>
  <si>
    <t>33%
eran 4.666 se solicitó cambio por 4.220</t>
  </si>
  <si>
    <t>dato a mayo 2018:3905; se toma como referencia el anual 2017</t>
  </si>
  <si>
    <t>Dato a junio: 82%, se mide anualizado</t>
  </si>
  <si>
    <t>Dato a junio: 6%; se toma 2017 por ser anualizada</t>
  </si>
  <si>
    <t>Dato a marzo 2018</t>
  </si>
  <si>
    <t>se solicitó cambio tipo acumulación de CAPACIDAD A FLUJO</t>
  </si>
  <si>
    <t>2017 No disponible aún</t>
  </si>
  <si>
    <t>PENDIENTE REGISTRO AVANCE 2017 EN SINERGIA</t>
  </si>
  <si>
    <t>El área informa que a noviembre-18 se han adjudicado 98 de los 500 créditos condonables para 7.291</t>
  </si>
  <si>
    <r>
      <t xml:space="preserve">Se toma en cuenta el último año total 2017;
</t>
    </r>
    <r>
      <rPr>
        <sz val="11"/>
        <color rgb="FFFF0000"/>
        <rFont val="Calibri"/>
        <family val="2"/>
        <scheme val="minor"/>
      </rPr>
      <t>Dato a junio 2018:23 (Pend Actualizar SINERGIA)</t>
    </r>
    <r>
      <rPr>
        <sz val="11"/>
        <color theme="1"/>
        <rFont val="Calibri"/>
        <family val="2"/>
        <scheme val="minor"/>
      </rPr>
      <t xml:space="preserve">
marzo: 7</t>
    </r>
  </si>
  <si>
    <r>
      <t xml:space="preserve">Dato a junio 2018
</t>
    </r>
    <r>
      <rPr>
        <sz val="11"/>
        <color rgb="FFFF0000"/>
        <rFont val="Calibri"/>
        <family val="2"/>
        <scheme val="minor"/>
      </rPr>
      <t>PENDIENTE DATO DIC 2018</t>
    </r>
  </si>
  <si>
    <r>
      <t xml:space="preserve">Dato a Septiembre 2018
</t>
    </r>
    <r>
      <rPr>
        <sz val="11"/>
        <color rgb="FFFF0000"/>
        <rFont val="Calibri"/>
        <family val="2"/>
        <scheme val="minor"/>
      </rPr>
      <t>PENDIENTE DATO A DICIEMBRE 2018</t>
    </r>
  </si>
  <si>
    <t>Reporte a Diciembre 2018</t>
  </si>
  <si>
    <t>Dato a diciembre 2017
El dato a 2018 sale en mayo-19</t>
  </si>
  <si>
    <r>
      <t xml:space="preserve">Dato a diciembre 2017
</t>
    </r>
    <r>
      <rPr>
        <sz val="11"/>
        <color rgb="FFFF0000"/>
        <rFont val="Calibri"/>
        <family val="2"/>
        <scheme val="minor"/>
      </rPr>
      <t>PENDIENTE DATO A DICIEMBRE 2018</t>
    </r>
  </si>
  <si>
    <t>Dato a septiembre (acumulado): 10.735</t>
  </si>
  <si>
    <t>Dato a diciembre 2017
Dato a 2018 sale en junio 19</t>
  </si>
  <si>
    <r>
      <t xml:space="preserve">Dato a diciembre 2016
</t>
    </r>
    <r>
      <rPr>
        <sz val="11"/>
        <color rgb="FFFF0000"/>
        <rFont val="Calibri"/>
        <family val="2"/>
        <scheme val="minor"/>
      </rPr>
      <t>Pendiente dato 2017 (enero 19)</t>
    </r>
  </si>
  <si>
    <r>
      <t xml:space="preserve">Reporte a diciembre 2017
</t>
    </r>
    <r>
      <rPr>
        <sz val="11"/>
        <color rgb="FFFF0000"/>
        <rFont val="Calibri"/>
        <family val="2"/>
        <scheme val="minor"/>
      </rPr>
      <t>Pendiente cargue junio y dic 2018</t>
    </r>
  </si>
  <si>
    <t>FEBRERO/2019</t>
  </si>
  <si>
    <t>Reporte a diciembre 2018</t>
  </si>
  <si>
    <t>Reporte a octubre 2018: 19.606
Reporte a Junio 2018: 11267</t>
  </si>
  <si>
    <t>Dato a noviembre 2018: 247.608; El dato 2018 se reporta en abril</t>
  </si>
  <si>
    <t>Dato a diciembre 2017
Dato a 2018 sale en abril-19</t>
  </si>
  <si>
    <t>No está disponible aún el dato de 2017; el dato 2018 sale en junio 2019</t>
  </si>
  <si>
    <t>pendiente por generar el dato 2017
el dato 2018 sale hasta 2020</t>
  </si>
  <si>
    <t>Dato a diciembre 2018</t>
  </si>
  <si>
    <t>Para el cierre 2018, PTA ha acompañado 85.038 docentes en 13.118 sedes del país</t>
  </si>
  <si>
    <t>Dato a diciembre 2017
Dato a diciembre 2018 sale en junio 19</t>
  </si>
  <si>
    <t>No hubo aplicación de pruebas en 2018; el dato de cierre es 2017</t>
  </si>
  <si>
    <t>Para la vigencia 2018 no se aplicaron pruebas SABER; el dato de cierre corresponde a 2017</t>
  </si>
  <si>
    <t>Dato a diciembre 2017
Dato a 2018 sale en 2020</t>
  </si>
  <si>
    <t>Dato a diciembre 2017
El dato a 2018 sale en junio 19</t>
  </si>
  <si>
    <t>dato a Noviembre- INFORMACIÓN OAPF
Marzo: 788.973
Junio: 931.771
*Octubre. 984.160
Noviembre: 977.898
Dato cierre diciembre sale en junio-19</t>
  </si>
  <si>
    <t xml:space="preserve">Diciembre: 4.138
septiembre: 4.138
Dato a junio 2018
Febrero: 3.998
Abril: 4.138
</t>
  </si>
  <si>
    <t>Dato a diciembre 2017
Dato a 2018 sale en mayo 19</t>
  </si>
  <si>
    <t xml:space="preserve">Dato a diciembre 2016
Pendiente dato 2017 y 2018 </t>
  </si>
  <si>
    <t>Dato a diciembre 2016
Pendiente reporte 2017 y 2018</t>
  </si>
  <si>
    <t xml:space="preserve">dato a diciembre 2018: 39.995 </t>
  </si>
  <si>
    <t>el dato TOTAL en SINERGIA es 71.949 OJO SOLICITAR AJUSTE</t>
  </si>
  <si>
    <t xml:space="preserve">Dato a diciembre:26.661
</t>
  </si>
  <si>
    <t>Dato a noviembre: 26.644
Dato a septiembre 2018: 26.575
Dato a junio 2018: 25.195
Dato a marzo: 23.639
corte septiembre (acum): 26.575 aulas (11.396 entregadas; 15.179 contratadas)
con corte a junio son 25.195 (9704 entregadas y 15491 contratadas)
del corte a marzo son Nuevas: 8.802  y Contratadas: 14.837</t>
  </si>
  <si>
    <t xml:space="preserve">
marzo: 10,95
junio: 12,80
* Octubre: 13,48%</t>
  </si>
  <si>
    <t>dato a septiembre- REPORTE OAPF</t>
  </si>
  <si>
    <t>RESULTADO PROMEDIO CUMPLIMIENTO METAS CUATRIENIO PND EDUCACIÓN 2015-2018 (corte Febrero 2019)</t>
  </si>
  <si>
    <r>
      <rPr>
        <b/>
        <sz val="9"/>
        <color theme="1"/>
        <rFont val="Calibri"/>
        <family val="2"/>
        <scheme val="minor"/>
      </rPr>
      <t>Fuente: DNP- Sinergia</t>
    </r>
    <r>
      <rPr>
        <sz val="9"/>
        <color theme="1"/>
        <rFont val="Calibri"/>
        <family val="2"/>
        <scheme val="minor"/>
      </rPr>
      <t>. Los resultados de avance acum. Vigencia 2018 corresponden a los reportes que hasta el corte de febrero de 2019 han sido cargados en el sistema; no obstante, corresponde a información prliminar de cierre, toda vez que, considerando la hoja de vida del indicador, hay algunos con rezagos de hasta 360 días.</t>
    </r>
  </si>
  <si>
    <r>
      <rPr>
        <b/>
        <sz val="9"/>
        <color theme="1"/>
        <rFont val="Calibri"/>
        <family val="2"/>
        <scheme val="minor"/>
      </rPr>
      <t xml:space="preserve">Análisis: </t>
    </r>
    <r>
      <rPr>
        <sz val="9"/>
        <color theme="1"/>
        <rFont val="Calibri"/>
        <family val="2"/>
        <scheme val="minor"/>
      </rPr>
      <t>MEN- OAPF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</si>
</sst>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_(* #,##0_);_(* \(#,##0\);_(* &quot;-&quot;??_);_(@_)"/>
    <numFmt numFmtId="166" formatCode="_-* #,##0_-;\-* #,##0_-;_-* &quot;-&quot;??_-;_-@_-"/>
    <numFmt numFmtId="167" formatCode="_-* #,##0.00_-;\-* #,##0.00_-;_-* &quot;-&quot;_-;_-@_-"/>
    <numFmt numFmtId="168" formatCode="_-* #,##0.0_-;\-* #,##0.0_-;_-* &quot;-&quot;?_-;_-@_-"/>
  </numFmts>
  <fonts count="49" x14ac:knownFonts="1">
    <font>
      <sz val="11"/>
      <color theme="1"/>
      <name val="Calibri"/>
      <family val="2"/>
      <scheme val="minor"/>
    </font>
    <font>
      <sz val="11"/>
      <color theme="1"/>
      <name val="Calibri"/>
      <family val="2"/>
      <scheme val="minor"/>
    </font>
    <font>
      <b/>
      <sz val="24"/>
      <color rgb="FF000000"/>
      <name val="Calibri"/>
      <family val="2"/>
    </font>
    <font>
      <sz val="11"/>
      <color rgb="FF000000"/>
      <name val="Calibri"/>
      <family val="2"/>
    </font>
    <font>
      <b/>
      <sz val="11"/>
      <color rgb="FFFFFFFF"/>
      <name val="Calibri"/>
      <family val="2"/>
    </font>
    <font>
      <sz val="11"/>
      <name val="Calibri"/>
      <family val="2"/>
    </font>
    <font>
      <sz val="11"/>
      <name val="Calibri"/>
      <family val="2"/>
      <scheme val="minor"/>
    </font>
    <font>
      <sz val="12"/>
      <color theme="1"/>
      <name val="Calibri"/>
      <family val="2"/>
      <scheme val="minor"/>
    </font>
    <font>
      <sz val="16"/>
      <color rgb="FF000000"/>
      <name val="Calibri"/>
      <family val="2"/>
      <scheme val="minor"/>
    </font>
    <font>
      <sz val="11"/>
      <color rgb="FF000000"/>
      <name val="Calibri"/>
      <family val="2"/>
      <scheme val="minor"/>
    </font>
    <font>
      <b/>
      <sz val="11"/>
      <color rgb="FFFFFFFF"/>
      <name val="Calibri"/>
      <family val="2"/>
      <scheme val="minor"/>
    </font>
    <font>
      <sz val="9"/>
      <color indexed="81"/>
      <name val="Tahoma"/>
      <family val="2"/>
    </font>
    <font>
      <b/>
      <sz val="9"/>
      <color indexed="81"/>
      <name val="Tahoma"/>
      <family val="2"/>
    </font>
    <font>
      <b/>
      <sz val="14"/>
      <color rgb="FFFFFFFF"/>
      <name val="Calibri"/>
      <family val="2"/>
      <scheme val="minor"/>
    </font>
    <font>
      <sz val="11"/>
      <color rgb="FFC00000"/>
      <name val="Calibri"/>
      <family val="2"/>
      <scheme val="minor"/>
    </font>
    <font>
      <sz val="11"/>
      <color rgb="FF000000"/>
      <name val="Calibri Light"/>
      <family val="2"/>
      <scheme val="major"/>
    </font>
    <font>
      <b/>
      <sz val="14"/>
      <color indexed="81"/>
      <name val="Tahoma"/>
      <family val="2"/>
    </font>
    <font>
      <b/>
      <sz val="11"/>
      <color theme="1"/>
      <name val="Calibri"/>
      <family val="2"/>
      <scheme val="minor"/>
    </font>
    <font>
      <sz val="11"/>
      <color rgb="FFFF0000"/>
      <name val="Calibri"/>
      <family val="2"/>
      <scheme val="minor"/>
    </font>
    <font>
      <b/>
      <sz val="11"/>
      <name val="Calibri"/>
      <family val="2"/>
      <scheme val="minor"/>
    </font>
    <font>
      <b/>
      <sz val="11"/>
      <name val="Calibri"/>
      <family val="2"/>
    </font>
    <font>
      <sz val="20"/>
      <color theme="5" tint="-0.249977111117893"/>
      <name val="Calibri"/>
      <family val="2"/>
      <scheme val="minor"/>
    </font>
    <font>
      <b/>
      <sz val="11"/>
      <color rgb="FF000000"/>
      <name val="Calibri"/>
      <family val="2"/>
    </font>
    <font>
      <b/>
      <sz val="11"/>
      <color theme="9" tint="-0.499984740745262"/>
      <name val="Calibri"/>
      <family val="2"/>
      <scheme val="minor"/>
    </font>
    <font>
      <b/>
      <sz val="11"/>
      <color theme="0"/>
      <name val="Calibri"/>
      <family val="2"/>
      <scheme val="minor"/>
    </font>
    <font>
      <sz val="11"/>
      <color theme="0"/>
      <name val="Calibri"/>
      <family val="2"/>
      <scheme val="minor"/>
    </font>
    <font>
      <i/>
      <sz val="11"/>
      <color rgb="FFC00000"/>
      <name val="Calibri"/>
      <family val="2"/>
      <scheme val="minor"/>
    </font>
    <font>
      <b/>
      <sz val="11"/>
      <color theme="1"/>
      <name val="Verdana"/>
      <family val="2"/>
    </font>
    <font>
      <sz val="11"/>
      <color theme="1"/>
      <name val="Verdana"/>
      <family val="2"/>
    </font>
    <font>
      <sz val="10"/>
      <color theme="1"/>
      <name val="Verdana"/>
      <family val="2"/>
    </font>
    <font>
      <b/>
      <sz val="10"/>
      <color theme="1"/>
      <name val="Verdana"/>
      <family val="2"/>
    </font>
    <font>
      <i/>
      <sz val="11"/>
      <name val="Calibri"/>
      <family val="2"/>
      <scheme val="minor"/>
    </font>
    <font>
      <b/>
      <sz val="18"/>
      <color theme="1"/>
      <name val="Calibri"/>
      <family val="2"/>
      <scheme val="minor"/>
    </font>
    <font>
      <sz val="18"/>
      <color theme="1"/>
      <name val="Calibri"/>
      <family val="2"/>
      <scheme val="minor"/>
    </font>
    <font>
      <b/>
      <sz val="20"/>
      <color theme="1"/>
      <name val="Calibri"/>
      <family val="2"/>
      <scheme val="minor"/>
    </font>
    <font>
      <b/>
      <sz val="22"/>
      <color theme="1"/>
      <name val="Calibri"/>
      <family val="2"/>
      <scheme val="minor"/>
    </font>
    <font>
      <sz val="20"/>
      <color theme="1"/>
      <name val="Calibri"/>
      <family val="2"/>
      <scheme val="minor"/>
    </font>
    <font>
      <i/>
      <sz val="11"/>
      <color rgb="FFFF0000"/>
      <name val="Calibri"/>
      <family val="2"/>
      <scheme val="minor"/>
    </font>
    <font>
      <b/>
      <sz val="11"/>
      <color rgb="FFFF0000"/>
      <name val="Calibri"/>
      <family val="2"/>
      <scheme val="minor"/>
    </font>
    <font>
      <b/>
      <sz val="12"/>
      <color theme="0"/>
      <name val="Calibri"/>
      <family val="2"/>
      <scheme val="minor"/>
    </font>
    <font>
      <b/>
      <sz val="16"/>
      <color rgb="FF0070C0"/>
      <name val="Calibri"/>
      <family val="2"/>
      <scheme val="minor"/>
    </font>
    <font>
      <b/>
      <sz val="18"/>
      <color rgb="FF0070C0"/>
      <name val="Calibri"/>
      <family val="2"/>
      <scheme val="minor"/>
    </font>
    <font>
      <b/>
      <sz val="18"/>
      <color theme="8" tint="-0.499984740745262"/>
      <name val="Calibri"/>
      <family val="2"/>
      <scheme val="minor"/>
    </font>
    <font>
      <b/>
      <sz val="14"/>
      <color theme="1"/>
      <name val="Calibri"/>
      <family val="2"/>
      <scheme val="minor"/>
    </font>
    <font>
      <sz val="11"/>
      <color theme="1"/>
      <name val="Calibri"/>
      <family val="2"/>
    </font>
    <font>
      <b/>
      <sz val="11"/>
      <color theme="0"/>
      <name val="Calibri"/>
      <family val="2"/>
    </font>
    <font>
      <sz val="12"/>
      <name val="Calibri"/>
      <family val="2"/>
      <scheme val="minor"/>
    </font>
    <font>
      <sz val="9"/>
      <color theme="1"/>
      <name val="Calibri"/>
      <family val="2"/>
      <scheme val="minor"/>
    </font>
    <font>
      <b/>
      <sz val="9"/>
      <color theme="1"/>
      <name val="Calibri"/>
      <family val="2"/>
      <scheme val="minor"/>
    </font>
  </fonts>
  <fills count="25">
    <fill>
      <patternFill patternType="none"/>
    </fill>
    <fill>
      <patternFill patternType="gray125"/>
    </fill>
    <fill>
      <patternFill patternType="solid">
        <fgColor rgb="FF800000"/>
        <bgColor rgb="FF800000"/>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bgColor rgb="FFFFC7CE"/>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5"/>
        <bgColor indexed="64"/>
      </patternFill>
    </fill>
    <fill>
      <patternFill patternType="solid">
        <fgColor rgb="FF0070C0"/>
        <bgColor indexed="64"/>
      </patternFill>
    </fill>
    <fill>
      <patternFill patternType="solid">
        <fgColor rgb="FFFFC000"/>
        <bgColor indexed="64"/>
      </patternFill>
    </fill>
    <fill>
      <patternFill patternType="solid">
        <fgColor theme="5" tint="-0.499984740745262"/>
        <bgColor indexed="64"/>
      </patternFill>
    </fill>
    <fill>
      <patternFill patternType="solid">
        <fgColor theme="4"/>
        <bgColor indexed="64"/>
      </patternFill>
    </fill>
    <fill>
      <patternFill patternType="solid">
        <fgColor theme="4" tint="0.79998168889431442"/>
        <bgColor indexed="64"/>
      </patternFill>
    </fill>
    <fill>
      <patternFill patternType="solid">
        <fgColor rgb="FF0070C0"/>
        <bgColor rgb="FF800000"/>
      </patternFill>
    </fill>
    <fill>
      <patternFill patternType="solid">
        <fgColor theme="7"/>
        <bgColor indexed="64"/>
      </patternFill>
    </fill>
  </fills>
  <borders count="9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right style="thin">
        <color auto="1"/>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diagonal/>
    </border>
    <border>
      <left style="thin">
        <color auto="1"/>
      </left>
      <right style="medium">
        <color indexed="64"/>
      </right>
      <top/>
      <bottom/>
      <diagonal/>
    </border>
    <border>
      <left style="thin">
        <color auto="1"/>
      </left>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medium">
        <color indexed="64"/>
      </top>
      <bottom style="dotted">
        <color indexed="64"/>
      </bottom>
      <diagonal/>
    </border>
    <border>
      <left style="thin">
        <color auto="1"/>
      </left>
      <right/>
      <top style="medium">
        <color indexed="64"/>
      </top>
      <bottom style="medium">
        <color indexed="64"/>
      </bottom>
      <diagonal/>
    </border>
    <border>
      <left style="dotted">
        <color indexed="64"/>
      </left>
      <right/>
      <top/>
      <bottom style="dotted">
        <color indexed="64"/>
      </bottom>
      <diagonal/>
    </border>
    <border>
      <left/>
      <right style="thin">
        <color auto="1"/>
      </right>
      <top style="medium">
        <color indexed="64"/>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medium">
        <color indexed="64"/>
      </top>
      <bottom style="medium">
        <color indexed="64"/>
      </bottom>
      <diagonal/>
    </border>
    <border>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top style="medium">
        <color indexed="64"/>
      </top>
      <bottom/>
      <diagonal/>
    </border>
    <border>
      <left style="hair">
        <color indexed="64"/>
      </left>
      <right style="thin">
        <color auto="1"/>
      </right>
      <top style="medium">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cellStyleXfs>
  <cellXfs count="834">
    <xf numFmtId="0" fontId="0" fillId="0" borderId="0" xfId="0"/>
    <xf numFmtId="0" fontId="2" fillId="0" borderId="0" xfId="0" applyFont="1" applyBorder="1" applyAlignme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center" wrapText="1"/>
    </xf>
    <xf numFmtId="0" fontId="0" fillId="0" borderId="0" xfId="0" applyFont="1"/>
    <xf numFmtId="0" fontId="8" fillId="0" borderId="0" xfId="0" applyFont="1" applyBorder="1" applyAlignment="1">
      <alignment horizontal="center" vertical="center"/>
    </xf>
    <xf numFmtId="0" fontId="8" fillId="0" borderId="0" xfId="0" applyFont="1" applyBorder="1" applyAlignment="1">
      <alignment vertical="center"/>
    </xf>
    <xf numFmtId="0" fontId="9" fillId="0" borderId="0" xfId="0" applyFont="1" applyBorder="1"/>
    <xf numFmtId="9" fontId="6" fillId="0" borderId="1" xfId="3" applyFont="1" applyFill="1" applyBorder="1" applyAlignment="1">
      <alignment horizontal="right" vertical="center" wrapText="1"/>
    </xf>
    <xf numFmtId="10" fontId="6" fillId="0" borderId="1" xfId="3" applyNumberFormat="1" applyFont="1" applyFill="1" applyBorder="1" applyAlignment="1">
      <alignment horizontal="right" vertical="center" wrapText="1"/>
    </xf>
    <xf numFmtId="0" fontId="6" fillId="0" borderId="1" xfId="0" applyFont="1" applyFill="1" applyBorder="1" applyAlignment="1">
      <alignment horizontal="right" vertical="center"/>
    </xf>
    <xf numFmtId="9"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wrapText="1"/>
    </xf>
    <xf numFmtId="10" fontId="6" fillId="0" borderId="1" xfId="0" applyNumberFormat="1" applyFont="1" applyFill="1" applyBorder="1" applyAlignment="1">
      <alignment horizontal="right" vertical="center"/>
    </xf>
    <xf numFmtId="164" fontId="6" fillId="0" borderId="1" xfId="0" applyNumberFormat="1" applyFont="1" applyFill="1" applyBorder="1" applyAlignment="1">
      <alignment horizontal="right" vertical="center" wrapText="1"/>
    </xf>
    <xf numFmtId="165" fontId="6" fillId="0" borderId="1" xfId="0"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xf>
    <xf numFmtId="165" fontId="6" fillId="0" borderId="1" xfId="1" applyNumberFormat="1" applyFont="1" applyFill="1" applyBorder="1" applyAlignment="1">
      <alignment horizontal="right" vertical="center"/>
    </xf>
    <xf numFmtId="0" fontId="6" fillId="0" borderId="1" xfId="0" applyFont="1" applyFill="1" applyBorder="1" applyAlignment="1">
      <alignment horizontal="right" vertical="center" wrapText="1"/>
    </xf>
    <xf numFmtId="10" fontId="6" fillId="0" borderId="1" xfId="3" applyNumberFormat="1" applyFont="1" applyFill="1" applyBorder="1" applyAlignment="1" applyProtection="1">
      <alignment horizontal="right" vertical="center" wrapText="1"/>
    </xf>
    <xf numFmtId="164" fontId="6" fillId="0" borderId="1" xfId="0" applyNumberFormat="1" applyFont="1" applyFill="1" applyBorder="1" applyAlignment="1">
      <alignment horizontal="right" vertical="center"/>
    </xf>
    <xf numFmtId="9" fontId="6" fillId="0" borderId="1" xfId="0" applyNumberFormat="1" applyFont="1" applyFill="1" applyBorder="1" applyAlignment="1">
      <alignment horizontal="right" vertical="center"/>
    </xf>
    <xf numFmtId="0" fontId="10" fillId="2" borderId="2" xfId="0" applyFont="1" applyFill="1" applyBorder="1" applyAlignment="1">
      <alignment horizontal="center" vertical="center" wrapText="1"/>
    </xf>
    <xf numFmtId="164" fontId="6" fillId="0" borderId="1" xfId="0" applyNumberFormat="1" applyFont="1" applyFill="1" applyBorder="1" applyAlignment="1" applyProtection="1">
      <alignment horizontal="right" vertical="center" wrapText="1"/>
    </xf>
    <xf numFmtId="10" fontId="6" fillId="5" borderId="1" xfId="0" applyNumberFormat="1" applyFont="1" applyFill="1" applyBorder="1" applyAlignment="1">
      <alignment horizontal="right" vertical="center" wrapText="1"/>
    </xf>
    <xf numFmtId="166" fontId="6" fillId="0" borderId="1" xfId="1" applyNumberFormat="1" applyFont="1" applyFill="1" applyBorder="1" applyAlignment="1">
      <alignment horizontal="right" vertical="center"/>
    </xf>
    <xf numFmtId="43" fontId="6" fillId="0" borderId="1" xfId="1" applyFont="1" applyFill="1" applyBorder="1" applyAlignment="1">
      <alignment horizontal="right" vertical="center" wrapText="1"/>
    </xf>
    <xf numFmtId="166" fontId="6" fillId="0" borderId="1" xfId="1" applyNumberFormat="1" applyFont="1" applyFill="1" applyBorder="1" applyAlignment="1">
      <alignment horizontal="right" vertical="center" wrapText="1"/>
    </xf>
    <xf numFmtId="164" fontId="6" fillId="0" borderId="1" xfId="5" applyNumberFormat="1" applyFont="1" applyFill="1" applyBorder="1" applyAlignment="1">
      <alignment horizontal="right" vertical="center" wrapText="1"/>
    </xf>
    <xf numFmtId="10" fontId="6" fillId="0" borderId="1" xfId="5" applyNumberFormat="1" applyFont="1" applyFill="1" applyBorder="1" applyAlignment="1">
      <alignment horizontal="right" vertical="center"/>
    </xf>
    <xf numFmtId="10" fontId="6" fillId="0" borderId="1" xfId="5" applyNumberFormat="1" applyFont="1" applyFill="1" applyBorder="1" applyAlignment="1">
      <alignment horizontal="right" vertical="center" wrapText="1"/>
    </xf>
    <xf numFmtId="10" fontId="6" fillId="5" borderId="1" xfId="5" applyNumberFormat="1" applyFont="1" applyFill="1" applyBorder="1" applyAlignment="1">
      <alignment horizontal="right" vertical="center" wrapText="1"/>
    </xf>
    <xf numFmtId="10" fontId="6" fillId="5" borderId="1" xfId="5" applyNumberFormat="1" applyFont="1" applyFill="1" applyBorder="1" applyAlignment="1">
      <alignment horizontal="right" vertical="center"/>
    </xf>
    <xf numFmtId="166" fontId="6" fillId="5" borderId="1" xfId="1" applyNumberFormat="1" applyFont="1" applyFill="1" applyBorder="1" applyAlignment="1">
      <alignment horizontal="right" vertical="center" wrapText="1"/>
    </xf>
    <xf numFmtId="166" fontId="6" fillId="5" borderId="1" xfId="1" applyNumberFormat="1" applyFont="1" applyFill="1" applyBorder="1" applyAlignment="1">
      <alignment horizontal="right" vertical="center"/>
    </xf>
    <xf numFmtId="9" fontId="6" fillId="0" borderId="1" xfId="3"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0" fontId="6" fillId="0" borderId="1" xfId="3" applyNumberFormat="1" applyFont="1" applyFill="1" applyBorder="1" applyAlignment="1">
      <alignment horizontal="center" vertical="center"/>
    </xf>
    <xf numFmtId="10" fontId="6" fillId="0" borderId="1" xfId="5" applyNumberFormat="1" applyFont="1" applyFill="1" applyBorder="1" applyAlignment="1">
      <alignment horizontal="center" vertical="center"/>
    </xf>
    <xf numFmtId="164" fontId="6" fillId="0" borderId="1" xfId="3" applyNumberFormat="1" applyFont="1" applyFill="1" applyBorder="1" applyAlignment="1">
      <alignment horizontal="center" vertical="center"/>
    </xf>
    <xf numFmtId="166" fontId="6" fillId="0" borderId="1" xfId="1" applyNumberFormat="1" applyFont="1" applyFill="1" applyBorder="1" applyAlignment="1">
      <alignment horizontal="center" vertical="center"/>
    </xf>
    <xf numFmtId="165" fontId="6" fillId="0" borderId="1" xfId="1" applyNumberFormat="1" applyFont="1" applyFill="1" applyBorder="1" applyAlignment="1" applyProtection="1">
      <alignment horizontal="center" vertical="center" wrapText="1"/>
    </xf>
    <xf numFmtId="10" fontId="6" fillId="0" borderId="1" xfId="5"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xf>
    <xf numFmtId="0" fontId="0" fillId="0" borderId="1" xfId="0" applyBorder="1" applyAlignment="1">
      <alignment horizontal="center" vertical="center"/>
    </xf>
    <xf numFmtId="10" fontId="6" fillId="5" borderId="6" xfId="5" applyNumberFormat="1" applyFont="1" applyFill="1" applyBorder="1" applyAlignment="1">
      <alignment horizontal="right" vertical="center" wrapText="1"/>
    </xf>
    <xf numFmtId="10" fontId="6" fillId="5" borderId="1" xfId="5" applyNumberFormat="1" applyFont="1" applyFill="1" applyBorder="1" applyAlignment="1">
      <alignment horizontal="center" vertical="center"/>
    </xf>
    <xf numFmtId="166" fontId="6" fillId="5" borderId="6" xfId="1" applyNumberFormat="1" applyFont="1" applyFill="1" applyBorder="1" applyAlignment="1">
      <alignment horizontal="right" vertical="center" wrapText="1"/>
    </xf>
    <xf numFmtId="10" fontId="6" fillId="5" borderId="6" xfId="0" applyNumberFormat="1" applyFont="1" applyFill="1" applyBorder="1" applyAlignment="1">
      <alignment horizontal="right" vertical="center" wrapText="1"/>
    </xf>
    <xf numFmtId="10" fontId="6" fillId="0" borderId="6" xfId="5" applyNumberFormat="1" applyFont="1" applyFill="1" applyBorder="1" applyAlignment="1">
      <alignment horizontal="right" vertical="center" wrapText="1"/>
    </xf>
    <xf numFmtId="10" fontId="6" fillId="0" borderId="1" xfId="5" applyNumberFormat="1" applyFont="1" applyFill="1" applyBorder="1" applyAlignment="1" applyProtection="1">
      <alignment horizontal="center" vertical="center" wrapText="1"/>
    </xf>
    <xf numFmtId="2" fontId="6" fillId="0" borderId="1" xfId="3"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166" fontId="6" fillId="0" borderId="1" xfId="1" applyNumberFormat="1" applyFont="1" applyFill="1" applyBorder="1" applyAlignment="1">
      <alignment horizontal="center" vertical="center" wrapText="1"/>
    </xf>
    <xf numFmtId="166" fontId="6" fillId="0" borderId="6" xfId="1" applyNumberFormat="1" applyFont="1" applyFill="1" applyBorder="1" applyAlignment="1">
      <alignment horizontal="right" vertical="center"/>
    </xf>
    <xf numFmtId="0" fontId="6" fillId="0" borderId="1" xfId="0" applyFont="1" applyFill="1" applyBorder="1" applyAlignment="1">
      <alignment horizontal="center" vertical="center" wrapText="1"/>
    </xf>
    <xf numFmtId="10" fontId="6" fillId="0" borderId="11" xfId="0" applyNumberFormat="1" applyFont="1" applyFill="1" applyBorder="1" applyAlignment="1">
      <alignment horizontal="right" vertical="center"/>
    </xf>
    <xf numFmtId="0" fontId="0" fillId="0" borderId="1" xfId="0" applyBorder="1" applyAlignment="1">
      <alignment horizontal="center" vertical="center" wrapText="1"/>
    </xf>
    <xf numFmtId="10" fontId="6" fillId="0" borderId="1" xfId="0" applyNumberFormat="1" applyFont="1" applyFill="1" applyBorder="1" applyAlignment="1">
      <alignment horizontal="center" vertical="center"/>
    </xf>
    <xf numFmtId="10" fontId="6" fillId="0" borderId="6" xfId="0" applyNumberFormat="1" applyFont="1" applyFill="1" applyBorder="1" applyAlignment="1">
      <alignment horizontal="right" vertical="center" wrapText="1"/>
    </xf>
    <xf numFmtId="165" fontId="6" fillId="0" borderId="1" xfId="0" applyNumberFormat="1" applyFont="1" applyFill="1" applyBorder="1" applyAlignment="1">
      <alignment horizontal="center" vertical="center"/>
    </xf>
    <xf numFmtId="41" fontId="6" fillId="0" borderId="1" xfId="2" applyFont="1" applyFill="1" applyBorder="1" applyAlignment="1" applyProtection="1">
      <alignment horizontal="center" vertical="center" wrapText="1"/>
    </xf>
    <xf numFmtId="41" fontId="6" fillId="0" borderId="1" xfId="2" applyFont="1" applyFill="1" applyBorder="1" applyAlignment="1">
      <alignment horizontal="right" vertical="center" wrapText="1"/>
    </xf>
    <xf numFmtId="3" fontId="6" fillId="0" borderId="1" xfId="0" applyNumberFormat="1" applyFont="1" applyFill="1" applyBorder="1" applyAlignment="1">
      <alignment horizontal="right" vertical="center"/>
    </xf>
    <xf numFmtId="3" fontId="6" fillId="0" borderId="1" xfId="0" applyNumberFormat="1" applyFont="1" applyFill="1" applyBorder="1" applyAlignment="1">
      <alignment horizontal="center" vertical="center"/>
    </xf>
    <xf numFmtId="0" fontId="10" fillId="2" borderId="13" xfId="0" applyFont="1" applyFill="1" applyBorder="1" applyAlignment="1">
      <alignment horizontal="center" vertical="center" wrapText="1"/>
    </xf>
    <xf numFmtId="0" fontId="0" fillId="0" borderId="1" xfId="0" applyBorder="1"/>
    <xf numFmtId="0" fontId="10" fillId="2" borderId="15"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6" xfId="0" applyFont="1" applyBorder="1" applyAlignment="1">
      <alignment horizontal="center" vertical="center" wrapText="1"/>
    </xf>
    <xf numFmtId="10" fontId="0" fillId="0" borderId="3" xfId="0" applyNumberFormat="1" applyBorder="1" applyAlignment="1">
      <alignment horizontal="center" vertical="center" wrapText="1"/>
    </xf>
    <xf numFmtId="165" fontId="0" fillId="0" borderId="3" xfId="0" applyNumberFormat="1" applyBorder="1" applyAlignment="1">
      <alignment horizontal="center" vertical="center" wrapText="1"/>
    </xf>
    <xf numFmtId="9" fontId="0" fillId="0" borderId="3" xfId="0" applyNumberFormat="1" applyBorder="1" applyAlignment="1">
      <alignment horizontal="center" vertical="center" wrapText="1"/>
    </xf>
    <xf numFmtId="164" fontId="0" fillId="0" borderId="3"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5" fillId="0" borderId="1" xfId="0" applyFont="1" applyFill="1" applyBorder="1" applyAlignment="1">
      <alignment horizontal="left" vertical="top" wrapText="1"/>
    </xf>
    <xf numFmtId="165" fontId="6" fillId="5" borderId="6" xfId="0" applyNumberFormat="1" applyFont="1" applyFill="1" applyBorder="1" applyAlignment="1">
      <alignment horizontal="right" vertical="center" wrapText="1"/>
    </xf>
    <xf numFmtId="0" fontId="10" fillId="2" borderId="0" xfId="0" applyFont="1" applyFill="1" applyBorder="1" applyAlignment="1">
      <alignment horizontal="center" vertical="center" wrapText="1"/>
    </xf>
    <xf numFmtId="0" fontId="14" fillId="0" borderId="1" xfId="0" applyFont="1" applyFill="1" applyBorder="1" applyAlignment="1">
      <alignment horizontal="center" vertical="center"/>
    </xf>
    <xf numFmtId="166" fontId="6" fillId="5" borderId="1" xfId="1" applyNumberFormat="1" applyFont="1" applyFill="1" applyBorder="1" applyAlignment="1">
      <alignment horizontal="center" vertical="center"/>
    </xf>
    <xf numFmtId="10" fontId="6" fillId="5" borderId="1" xfId="0" applyNumberFormat="1" applyFont="1" applyFill="1" applyBorder="1" applyAlignment="1">
      <alignment horizontal="right" vertical="center"/>
    </xf>
    <xf numFmtId="43" fontId="6" fillId="5" borderId="6" xfId="1" applyFont="1" applyFill="1" applyBorder="1" applyAlignment="1">
      <alignment horizontal="center" vertical="center" wrapText="1"/>
    </xf>
    <xf numFmtId="10" fontId="6" fillId="5" borderId="6" xfId="5" applyNumberFormat="1" applyFont="1" applyFill="1" applyBorder="1" applyAlignment="1">
      <alignment horizontal="center" vertical="center" wrapText="1"/>
    </xf>
    <xf numFmtId="9" fontId="14" fillId="0" borderId="1" xfId="4" applyNumberFormat="1" applyFont="1" applyFill="1" applyBorder="1" applyAlignment="1" applyProtection="1">
      <alignment horizontal="right" vertical="center" wrapText="1"/>
    </xf>
    <xf numFmtId="9" fontId="14"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xf>
    <xf numFmtId="10" fontId="14" fillId="0" borderId="1" xfId="0" applyNumberFormat="1" applyFont="1" applyFill="1" applyBorder="1" applyAlignment="1">
      <alignment horizontal="center" vertical="center"/>
    </xf>
    <xf numFmtId="10" fontId="14" fillId="0" borderId="1" xfId="5" applyNumberFormat="1" applyFont="1" applyFill="1" applyBorder="1" applyAlignment="1">
      <alignment horizontal="center" vertical="center"/>
    </xf>
    <xf numFmtId="10" fontId="14" fillId="0" borderId="1" xfId="5" applyNumberFormat="1" applyFont="1" applyFill="1" applyBorder="1" applyAlignment="1">
      <alignment horizontal="center" vertical="center" wrapText="1"/>
    </xf>
    <xf numFmtId="10" fontId="6" fillId="5" borderId="8" xfId="5" applyNumberFormat="1" applyFont="1" applyFill="1" applyBorder="1" applyAlignment="1">
      <alignment horizontal="right" vertical="center" wrapText="1"/>
    </xf>
    <xf numFmtId="43" fontId="6" fillId="5" borderId="1" xfId="1" applyFont="1" applyFill="1" applyBorder="1" applyAlignment="1">
      <alignment horizontal="right" vertical="center" wrapText="1"/>
    </xf>
    <xf numFmtId="41" fontId="6" fillId="0" borderId="1" xfId="0" applyNumberFormat="1" applyFont="1" applyFill="1" applyBorder="1" applyAlignment="1">
      <alignment horizontal="center" vertical="center"/>
    </xf>
    <xf numFmtId="9" fontId="0" fillId="0" borderId="0" xfId="0" applyNumberFormat="1"/>
    <xf numFmtId="10" fontId="14" fillId="0" borderId="1" xfId="5" applyNumberFormat="1" applyFont="1" applyFill="1" applyBorder="1" applyAlignment="1">
      <alignment horizontal="righ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left" wrapText="1"/>
    </xf>
    <xf numFmtId="0" fontId="14"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4" fillId="0" borderId="1" xfId="0" applyFont="1" applyFill="1" applyBorder="1" applyAlignment="1">
      <alignment horizontal="right"/>
    </xf>
    <xf numFmtId="166" fontId="6" fillId="0" borderId="1" xfId="1" applyNumberFormat="1" applyFont="1" applyFill="1" applyBorder="1" applyAlignment="1" applyProtection="1">
      <alignment horizontal="center" vertical="center" wrapText="1"/>
    </xf>
    <xf numFmtId="43" fontId="6" fillId="0" borderId="1" xfId="1" applyFont="1" applyFill="1" applyBorder="1" applyAlignment="1">
      <alignment horizontal="center" vertical="center" wrapText="1"/>
    </xf>
    <xf numFmtId="0" fontId="3" fillId="0" borderId="14" xfId="0" applyFont="1" applyFill="1" applyBorder="1" applyAlignment="1">
      <alignment horizontal="left" vertical="center" wrapText="1"/>
    </xf>
    <xf numFmtId="10" fontId="6" fillId="0" borderId="14" xfId="5" applyNumberFormat="1" applyFont="1" applyFill="1" applyBorder="1" applyAlignment="1">
      <alignment horizontal="right" vertical="center" wrapText="1"/>
    </xf>
    <xf numFmtId="10" fontId="6" fillId="5" borderId="14" xfId="5" applyNumberFormat="1" applyFont="1" applyFill="1" applyBorder="1" applyAlignment="1">
      <alignment horizontal="right" vertical="center" wrapText="1"/>
    </xf>
    <xf numFmtId="164" fontId="6" fillId="0" borderId="14" xfId="5" applyNumberFormat="1" applyFont="1" applyFill="1" applyBorder="1" applyAlignment="1">
      <alignment horizontal="right"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3" fillId="0" borderId="11" xfId="0" applyFont="1" applyFill="1" applyBorder="1" applyAlignment="1">
      <alignment horizontal="left" vertical="center" wrapText="1"/>
    </xf>
    <xf numFmtId="9" fontId="6" fillId="0" borderId="11" xfId="3" applyFont="1" applyFill="1" applyBorder="1" applyAlignment="1">
      <alignment horizontal="right" vertical="center"/>
    </xf>
    <xf numFmtId="164" fontId="6" fillId="0" borderId="11" xfId="5" applyNumberFormat="1" applyFont="1" applyFill="1" applyBorder="1" applyAlignment="1">
      <alignment horizontal="right" vertical="center" wrapText="1"/>
    </xf>
    <xf numFmtId="10" fontId="6" fillId="5" borderId="11" xfId="5" applyNumberFormat="1" applyFont="1" applyFill="1" applyBorder="1" applyAlignment="1">
      <alignment horizontal="right" vertical="center"/>
    </xf>
    <xf numFmtId="164" fontId="6" fillId="0" borderId="11" xfId="0" applyNumberFormat="1" applyFont="1" applyFill="1" applyBorder="1" applyAlignment="1">
      <alignment horizontal="right" vertical="center" wrapText="1"/>
    </xf>
    <xf numFmtId="10" fontId="6" fillId="0" borderId="11" xfId="0" applyNumberFormat="1" applyFont="1" applyFill="1" applyBorder="1" applyAlignment="1">
      <alignment horizontal="right" vertical="center" wrapText="1"/>
    </xf>
    <xf numFmtId="10" fontId="14" fillId="0" borderId="11" xfId="5" applyNumberFormat="1" applyFont="1" applyFill="1" applyBorder="1" applyAlignment="1">
      <alignment horizontal="center" vertical="center"/>
    </xf>
    <xf numFmtId="164" fontId="6" fillId="0" borderId="5" xfId="5" applyNumberFormat="1" applyFont="1" applyFill="1" applyBorder="1" applyAlignment="1">
      <alignment horizontal="right" vertical="center" wrapText="1"/>
    </xf>
    <xf numFmtId="164" fontId="6" fillId="0" borderId="7" xfId="5" applyNumberFormat="1" applyFont="1" applyFill="1" applyBorder="1" applyAlignment="1">
      <alignment horizontal="right" vertical="center" wrapText="1"/>
    </xf>
    <xf numFmtId="164" fontId="6" fillId="0" borderId="9" xfId="5" applyNumberFormat="1" applyFont="1" applyFill="1" applyBorder="1" applyAlignment="1">
      <alignment horizontal="right" vertical="center" wrapText="1"/>
    </xf>
    <xf numFmtId="10" fontId="6" fillId="0" borderId="6" xfId="5" applyNumberFormat="1" applyFont="1" applyFill="1" applyBorder="1" applyAlignment="1">
      <alignment horizontal="right" vertical="center"/>
    </xf>
    <xf numFmtId="49" fontId="6" fillId="0" borderId="7" xfId="5" applyNumberFormat="1" applyFont="1" applyFill="1" applyBorder="1" applyAlignment="1">
      <alignment horizontal="right" vertical="center" wrapText="1"/>
    </xf>
    <xf numFmtId="10" fontId="6" fillId="0" borderId="6" xfId="5" applyNumberFormat="1" applyFont="1" applyFill="1" applyBorder="1" applyAlignment="1">
      <alignment horizontal="center" vertical="center"/>
    </xf>
    <xf numFmtId="10" fontId="6" fillId="0" borderId="8" xfId="5" applyNumberFormat="1" applyFont="1" applyFill="1" applyBorder="1" applyAlignment="1">
      <alignment horizontal="right" vertical="center"/>
    </xf>
    <xf numFmtId="0" fontId="3" fillId="8" borderId="10"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15" fillId="8" borderId="1" xfId="0" applyNumberFormat="1" applyFont="1" applyFill="1" applyBorder="1" applyAlignment="1">
      <alignment horizontal="left" vertical="top" wrapText="1" readingOrder="1"/>
    </xf>
    <xf numFmtId="0" fontId="3" fillId="9"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0" fillId="0" borderId="0" xfId="0" applyAlignment="1">
      <alignment horizontal="left" wrapText="1" indent="1"/>
    </xf>
    <xf numFmtId="0" fontId="0" fillId="11" borderId="0" xfId="0" applyNumberFormat="1" applyFill="1"/>
    <xf numFmtId="0" fontId="0" fillId="0" borderId="0" xfId="0" applyAlignment="1">
      <alignment vertical="center"/>
    </xf>
    <xf numFmtId="0" fontId="0" fillId="0" borderId="0" xfId="0" applyAlignment="1">
      <alignment horizontal="center" vertical="center"/>
    </xf>
    <xf numFmtId="164" fontId="6" fillId="0" borderId="7" xfId="5" applyNumberFormat="1" applyFont="1" applyFill="1" applyBorder="1" applyAlignment="1">
      <alignment horizontal="center" vertical="center" wrapText="1"/>
    </xf>
    <xf numFmtId="166" fontId="6" fillId="5" borderId="1" xfId="1" applyNumberFormat="1" applyFont="1" applyFill="1" applyBorder="1" applyAlignment="1">
      <alignment horizontal="center" vertical="center" wrapText="1"/>
    </xf>
    <xf numFmtId="164" fontId="6" fillId="0" borderId="1" xfId="5" applyNumberFormat="1" applyFont="1" applyFill="1" applyBorder="1" applyAlignment="1">
      <alignment horizontal="center" vertical="center" wrapText="1"/>
    </xf>
    <xf numFmtId="9" fontId="6" fillId="0" borderId="1" xfId="3" applyNumberFormat="1" applyFont="1" applyFill="1" applyBorder="1" applyAlignment="1">
      <alignment horizontal="center" vertical="center"/>
    </xf>
    <xf numFmtId="10" fontId="19" fillId="5" borderId="1" xfId="5" applyNumberFormat="1" applyFont="1" applyFill="1" applyBorder="1" applyAlignment="1">
      <alignment horizontal="center" vertical="center"/>
    </xf>
    <xf numFmtId="9" fontId="19" fillId="5" borderId="1" xfId="5" applyNumberFormat="1" applyFont="1" applyFill="1" applyBorder="1" applyAlignment="1">
      <alignment horizontal="center" vertical="center"/>
    </xf>
    <xf numFmtId="41" fontId="9" fillId="0" borderId="0" xfId="0" applyNumberFormat="1" applyFont="1" applyBorder="1"/>
    <xf numFmtId="10" fontId="6" fillId="5" borderId="1" xfId="0" applyNumberFormat="1" applyFont="1" applyFill="1" applyBorder="1" applyAlignment="1">
      <alignment horizontal="center" vertical="center" wrapText="1"/>
    </xf>
    <xf numFmtId="10" fontId="6" fillId="5" borderId="6" xfId="5" applyNumberFormat="1" applyFont="1" applyFill="1" applyBorder="1" applyAlignment="1">
      <alignment horizontal="right" vertical="center"/>
    </xf>
    <xf numFmtId="10" fontId="6" fillId="5" borderId="6" xfId="5" applyNumberFormat="1" applyFont="1" applyFill="1" applyBorder="1" applyAlignment="1">
      <alignment horizontal="center" vertical="center"/>
    </xf>
    <xf numFmtId="0" fontId="0" fillId="0" borderId="1" xfId="0" applyBorder="1" applyAlignment="1">
      <alignment vertical="center" wrapText="1"/>
    </xf>
    <xf numFmtId="9" fontId="0" fillId="0" borderId="0" xfId="0" applyNumberFormat="1" applyFont="1"/>
    <xf numFmtId="10" fontId="0" fillId="0" borderId="0" xfId="5" applyNumberFormat="1" applyFont="1"/>
    <xf numFmtId="10" fontId="0" fillId="0" borderId="0" xfId="0" applyNumberFormat="1" applyFont="1"/>
    <xf numFmtId="10" fontId="6" fillId="0" borderId="16" xfId="5" applyNumberFormat="1" applyFont="1" applyFill="1" applyBorder="1" applyAlignment="1">
      <alignment horizontal="right" vertical="center" wrapText="1"/>
    </xf>
    <xf numFmtId="10" fontId="6" fillId="0" borderId="3" xfId="5" applyNumberFormat="1" applyFont="1" applyFill="1" applyBorder="1" applyAlignment="1">
      <alignment horizontal="right" vertical="center" wrapText="1"/>
    </xf>
    <xf numFmtId="10" fontId="6" fillId="0" borderId="3" xfId="0" applyNumberFormat="1" applyFont="1" applyFill="1" applyBorder="1" applyAlignment="1">
      <alignment horizontal="right" vertical="center" wrapText="1"/>
    </xf>
    <xf numFmtId="166" fontId="6" fillId="0" borderId="3" xfId="1" applyNumberFormat="1" applyFont="1" applyFill="1" applyBorder="1" applyAlignment="1">
      <alignment horizontal="right" vertical="center" wrapText="1"/>
    </xf>
    <xf numFmtId="166" fontId="6" fillId="0" borderId="3" xfId="1" applyNumberFormat="1" applyFont="1" applyFill="1" applyBorder="1" applyAlignment="1">
      <alignment horizontal="right" vertical="center"/>
    </xf>
    <xf numFmtId="166" fontId="6" fillId="0" borderId="20" xfId="1" applyNumberFormat="1" applyFont="1" applyFill="1" applyBorder="1" applyAlignment="1">
      <alignment horizontal="right" vertical="center"/>
    </xf>
    <xf numFmtId="3" fontId="21" fillId="0" borderId="1" xfId="0" applyNumberFormat="1" applyFont="1" applyFill="1" applyBorder="1" applyAlignment="1">
      <alignment horizontal="right" vertical="center" wrapText="1"/>
    </xf>
    <xf numFmtId="9" fontId="6" fillId="5" borderId="11" xfId="3" applyFont="1" applyFill="1" applyBorder="1" applyAlignment="1">
      <alignment horizontal="right" vertical="center"/>
    </xf>
    <xf numFmtId="166" fontId="6" fillId="0" borderId="20" xfId="1" applyNumberFormat="1" applyFont="1" applyFill="1" applyBorder="1" applyAlignment="1">
      <alignment horizontal="right" vertical="center" wrapText="1"/>
    </xf>
    <xf numFmtId="0" fontId="22" fillId="0" borderId="1" xfId="0" applyFont="1" applyFill="1" applyBorder="1" applyAlignment="1">
      <alignment horizontal="left" vertical="center" wrapText="1"/>
    </xf>
    <xf numFmtId="10" fontId="6" fillId="0" borderId="20" xfId="0" applyNumberFormat="1" applyFont="1" applyFill="1" applyBorder="1" applyAlignment="1">
      <alignment horizontal="right" vertical="center" wrapText="1"/>
    </xf>
    <xf numFmtId="10" fontId="6" fillId="0" borderId="20" xfId="5" applyNumberFormat="1" applyFont="1" applyFill="1" applyBorder="1" applyAlignment="1">
      <alignment horizontal="right" vertical="center" wrapText="1"/>
    </xf>
    <xf numFmtId="10" fontId="6" fillId="0" borderId="21" xfId="5" applyNumberFormat="1" applyFont="1" applyFill="1" applyBorder="1" applyAlignment="1">
      <alignment horizontal="right" vertical="center" wrapText="1"/>
    </xf>
    <xf numFmtId="9" fontId="6" fillId="0" borderId="20" xfId="0" applyNumberFormat="1" applyFont="1" applyFill="1" applyBorder="1" applyAlignment="1">
      <alignment horizontal="right" vertical="center" wrapText="1"/>
    </xf>
    <xf numFmtId="10" fontId="6" fillId="0" borderId="20" xfId="3" applyNumberFormat="1" applyFont="1" applyFill="1" applyBorder="1" applyAlignment="1">
      <alignment horizontal="right" vertical="center" wrapText="1"/>
    </xf>
    <xf numFmtId="166" fontId="6" fillId="0" borderId="20" xfId="1" applyNumberFormat="1" applyFont="1" applyFill="1" applyBorder="1" applyAlignment="1">
      <alignment horizontal="center" vertical="center"/>
    </xf>
    <xf numFmtId="0" fontId="0" fillId="0" borderId="1" xfId="0" applyBorder="1" applyAlignment="1">
      <alignment horizontal="left" vertical="center" wrapText="1"/>
    </xf>
    <xf numFmtId="9" fontId="6" fillId="0" borderId="20" xfId="3" applyFont="1" applyFill="1" applyBorder="1" applyAlignment="1">
      <alignment horizontal="right" vertical="center" wrapText="1"/>
    </xf>
    <xf numFmtId="9" fontId="6" fillId="0" borderId="20" xfId="3" applyFont="1" applyFill="1" applyBorder="1" applyAlignment="1">
      <alignment horizontal="center" vertical="center" wrapText="1"/>
    </xf>
    <xf numFmtId="10" fontId="6" fillId="0" borderId="20" xfId="0" applyNumberFormat="1" applyFont="1" applyFill="1" applyBorder="1" applyAlignment="1">
      <alignment horizontal="center" vertical="center" wrapText="1"/>
    </xf>
    <xf numFmtId="9" fontId="6" fillId="0" borderId="20" xfId="0" applyNumberFormat="1" applyFont="1" applyFill="1" applyBorder="1" applyAlignment="1">
      <alignment horizontal="right" vertical="center"/>
    </xf>
    <xf numFmtId="9" fontId="6" fillId="0" borderId="22" xfId="3" applyFont="1" applyFill="1" applyBorder="1" applyAlignment="1">
      <alignment horizontal="right" vertical="center"/>
    </xf>
    <xf numFmtId="0" fontId="0" fillId="0" borderId="8" xfId="0" applyFont="1" applyBorder="1" applyAlignment="1">
      <alignment horizontal="center" vertical="center"/>
    </xf>
    <xf numFmtId="1" fontId="6" fillId="0" borderId="3" xfId="0" applyNumberFormat="1" applyFont="1" applyFill="1" applyBorder="1" applyAlignment="1">
      <alignment horizontal="right" vertical="center" wrapText="1"/>
    </xf>
    <xf numFmtId="10" fontId="6" fillId="0" borderId="3" xfId="5" applyNumberFormat="1" applyFont="1" applyFill="1" applyBorder="1" applyAlignment="1">
      <alignment horizontal="right" vertical="center"/>
    </xf>
    <xf numFmtId="9" fontId="6" fillId="0" borderId="3" xfId="5" applyFont="1" applyFill="1" applyBorder="1" applyAlignment="1">
      <alignment horizontal="right" vertical="center" wrapText="1"/>
    </xf>
    <xf numFmtId="10" fontId="6" fillId="0" borderId="17" xfId="5" applyNumberFormat="1" applyFont="1" applyFill="1" applyBorder="1" applyAlignment="1">
      <alignment horizontal="right" vertical="center" wrapText="1"/>
    </xf>
    <xf numFmtId="10" fontId="19" fillId="12" borderId="1" xfId="5" applyNumberFormat="1" applyFont="1" applyFill="1" applyBorder="1" applyAlignment="1">
      <alignment horizontal="right" vertical="center" wrapText="1"/>
    </xf>
    <xf numFmtId="166" fontId="23" fillId="0" borderId="1" xfId="1" applyNumberFormat="1" applyFont="1" applyFill="1" applyBorder="1" applyAlignment="1">
      <alignment horizontal="right" vertical="center" wrapText="1"/>
    </xf>
    <xf numFmtId="10" fontId="23" fillId="0" borderId="1" xfId="5" applyNumberFormat="1" applyFont="1" applyFill="1" applyBorder="1" applyAlignment="1">
      <alignment horizontal="right" vertical="center" wrapText="1"/>
    </xf>
    <xf numFmtId="10" fontId="23" fillId="0" borderId="1" xfId="0" applyNumberFormat="1" applyFont="1" applyFill="1" applyBorder="1" applyAlignment="1">
      <alignment horizontal="right" vertical="center" wrapText="1"/>
    </xf>
    <xf numFmtId="9" fontId="23" fillId="0" borderId="1" xfId="0" applyNumberFormat="1" applyFont="1" applyFill="1" applyBorder="1" applyAlignment="1">
      <alignment horizontal="right" vertical="center" wrapText="1"/>
    </xf>
    <xf numFmtId="10" fontId="19" fillId="12" borderId="1" xfId="3" applyNumberFormat="1" applyFont="1" applyFill="1" applyBorder="1" applyAlignment="1">
      <alignment horizontal="right" vertical="center" wrapText="1"/>
    </xf>
    <xf numFmtId="166" fontId="19" fillId="12" borderId="1" xfId="1" applyNumberFormat="1" applyFont="1" applyFill="1" applyBorder="1" applyAlignment="1">
      <alignment horizontal="right" vertical="center" wrapText="1"/>
    </xf>
    <xf numFmtId="166" fontId="19" fillId="12" borderId="1" xfId="1"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6" xfId="0"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applyAlignment="1">
      <alignment horizontal="center" vertical="center" wrapText="1"/>
    </xf>
    <xf numFmtId="0" fontId="10" fillId="2" borderId="21" xfId="0" applyFont="1" applyFill="1" applyBorder="1" applyAlignment="1">
      <alignment horizontal="center" vertical="center" wrapText="1"/>
    </xf>
    <xf numFmtId="41" fontId="6" fillId="0" borderId="20" xfId="2" applyNumberFormat="1" applyFont="1" applyFill="1" applyBorder="1" applyAlignment="1">
      <alignment horizontal="right" vertical="center" wrapText="1"/>
    </xf>
    <xf numFmtId="10" fontId="19" fillId="12" borderId="20" xfId="5" applyNumberFormat="1" applyFont="1" applyFill="1" applyBorder="1" applyAlignment="1">
      <alignment horizontal="right" vertical="center" wrapText="1"/>
    </xf>
    <xf numFmtId="41" fontId="19" fillId="12" borderId="20" xfId="2" applyNumberFormat="1" applyFont="1" applyFill="1" applyBorder="1" applyAlignment="1">
      <alignment horizontal="right" vertical="center" wrapText="1"/>
    </xf>
    <xf numFmtId="10" fontId="23" fillId="0" borderId="20" xfId="5" applyNumberFormat="1" applyFont="1" applyFill="1" applyBorder="1" applyAlignment="1">
      <alignment horizontal="right" vertical="center" wrapText="1"/>
    </xf>
    <xf numFmtId="41" fontId="23" fillId="0" borderId="20" xfId="2" applyNumberFormat="1" applyFont="1" applyFill="1" applyBorder="1" applyAlignment="1">
      <alignment horizontal="right" vertical="center" wrapText="1"/>
    </xf>
    <xf numFmtId="167" fontId="6" fillId="0" borderId="20" xfId="2" applyNumberFormat="1" applyFont="1" applyFill="1" applyBorder="1" applyAlignment="1">
      <alignment horizontal="right" vertical="center" wrapText="1"/>
    </xf>
    <xf numFmtId="167" fontId="19" fillId="12" borderId="20" xfId="2" applyNumberFormat="1" applyFont="1" applyFill="1" applyBorder="1" applyAlignment="1">
      <alignment horizontal="right" vertical="center" wrapText="1"/>
    </xf>
    <xf numFmtId="10" fontId="6" fillId="0" borderId="22" xfId="5" applyNumberFormat="1" applyFont="1" applyFill="1" applyBorder="1" applyAlignment="1">
      <alignment horizontal="right"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10" fontId="19" fillId="12" borderId="6" xfId="5" applyNumberFormat="1" applyFont="1" applyFill="1" applyBorder="1" applyAlignment="1">
      <alignment horizontal="right" vertical="center" wrapText="1"/>
    </xf>
    <xf numFmtId="166" fontId="19" fillId="12" borderId="6" xfId="1" applyNumberFormat="1" applyFont="1" applyFill="1" applyBorder="1" applyAlignment="1">
      <alignment horizontal="right" vertical="center" wrapText="1"/>
    </xf>
    <xf numFmtId="43" fontId="19" fillId="12" borderId="6" xfId="1" applyFont="1" applyFill="1" applyBorder="1" applyAlignment="1">
      <alignment horizontal="right" vertical="center" wrapText="1"/>
    </xf>
    <xf numFmtId="166" fontId="19" fillId="12" borderId="6" xfId="1" applyNumberFormat="1" applyFont="1" applyFill="1" applyBorder="1" applyAlignment="1">
      <alignment horizontal="center" vertical="center" wrapText="1"/>
    </xf>
    <xf numFmtId="166" fontId="23" fillId="12" borderId="6" xfId="1" applyNumberFormat="1" applyFont="1" applyFill="1" applyBorder="1" applyAlignment="1">
      <alignment horizontal="right" vertical="center" wrapText="1"/>
    </xf>
    <xf numFmtId="9" fontId="19" fillId="12" borderId="6" xfId="5" applyFont="1" applyFill="1" applyBorder="1" applyAlignment="1">
      <alignment horizontal="center" vertical="center" wrapText="1"/>
    </xf>
    <xf numFmtId="0" fontId="22" fillId="3" borderId="1" xfId="0" applyFont="1" applyFill="1" applyBorder="1" applyAlignment="1">
      <alignment horizontal="left" vertical="top" wrapText="1"/>
    </xf>
    <xf numFmtId="0" fontId="22" fillId="3" borderId="1" xfId="0" applyFont="1" applyFill="1" applyBorder="1" applyAlignment="1">
      <alignment horizontal="left" vertical="center" wrapText="1"/>
    </xf>
    <xf numFmtId="0" fontId="20" fillId="3" borderId="1" xfId="0" applyFont="1" applyFill="1" applyBorder="1" applyAlignment="1">
      <alignment horizontal="left" vertical="top" wrapText="1"/>
    </xf>
    <xf numFmtId="0" fontId="20" fillId="3" borderId="1" xfId="0" applyFont="1" applyFill="1" applyBorder="1" applyAlignment="1">
      <alignment horizontal="left" vertical="center" wrapText="1"/>
    </xf>
    <xf numFmtId="10" fontId="6" fillId="5" borderId="3" xfId="1" applyNumberFormat="1" applyFont="1" applyFill="1" applyBorder="1" applyAlignment="1">
      <alignment horizontal="right" vertical="center" wrapText="1"/>
    </xf>
    <xf numFmtId="10" fontId="19" fillId="12" borderId="3" xfId="5" applyNumberFormat="1" applyFont="1" applyFill="1" applyBorder="1" applyAlignment="1">
      <alignment horizontal="right" vertical="center" wrapText="1"/>
    </xf>
    <xf numFmtId="166" fontId="19" fillId="12" borderId="3" xfId="1" applyNumberFormat="1" applyFont="1" applyFill="1" applyBorder="1" applyAlignment="1">
      <alignment horizontal="right" vertical="center"/>
    </xf>
    <xf numFmtId="166" fontId="19" fillId="12" borderId="3" xfId="1" applyNumberFormat="1" applyFont="1" applyFill="1" applyBorder="1" applyAlignment="1">
      <alignment horizontal="center" vertical="center" wrapText="1"/>
    </xf>
    <xf numFmtId="9" fontId="6" fillId="5" borderId="6" xfId="5" applyNumberFormat="1" applyFont="1" applyFill="1" applyBorder="1" applyAlignment="1">
      <alignment horizontal="right" vertical="center" wrapText="1"/>
    </xf>
    <xf numFmtId="9" fontId="6" fillId="5" borderId="6" xfId="5" applyNumberFormat="1" applyFont="1" applyFill="1" applyBorder="1" applyAlignment="1">
      <alignment horizontal="center" vertical="center" wrapText="1"/>
    </xf>
    <xf numFmtId="9" fontId="6" fillId="0" borderId="3" xfId="5" applyNumberFormat="1" applyFont="1" applyFill="1" applyBorder="1" applyAlignment="1">
      <alignment horizontal="right" vertical="center"/>
    </xf>
    <xf numFmtId="9" fontId="6" fillId="0" borderId="3" xfId="5" applyNumberFormat="1" applyFont="1" applyFill="1" applyBorder="1" applyAlignment="1">
      <alignment horizontal="right" vertical="center" wrapText="1"/>
    </xf>
    <xf numFmtId="9" fontId="6" fillId="5" borderId="1" xfId="5" applyNumberFormat="1" applyFont="1" applyFill="1" applyBorder="1" applyAlignment="1">
      <alignment horizontal="center" vertical="center"/>
    </xf>
    <xf numFmtId="10" fontId="6" fillId="5" borderId="14" xfId="5" applyNumberFormat="1" applyFont="1" applyFill="1" applyBorder="1" applyAlignment="1">
      <alignment horizontal="center" vertical="center" wrapText="1"/>
    </xf>
    <xf numFmtId="10" fontId="6" fillId="5" borderId="1" xfId="5" applyNumberFormat="1" applyFont="1" applyFill="1" applyBorder="1" applyAlignment="1">
      <alignment horizontal="center" vertical="center" wrapText="1"/>
    </xf>
    <xf numFmtId="10" fontId="6" fillId="5" borderId="1" xfId="0" applyNumberFormat="1" applyFont="1" applyFill="1" applyBorder="1" applyAlignment="1">
      <alignment horizontal="center" vertical="center"/>
    </xf>
    <xf numFmtId="1" fontId="6" fillId="5" borderId="1" xfId="0" applyNumberFormat="1" applyFont="1" applyFill="1" applyBorder="1" applyAlignment="1">
      <alignment horizontal="center" vertical="center" wrapText="1"/>
    </xf>
    <xf numFmtId="41" fontId="6" fillId="5" borderId="1" xfId="2" applyFont="1" applyFill="1" applyBorder="1" applyAlignment="1">
      <alignment horizontal="center" vertical="center" wrapText="1"/>
    </xf>
    <xf numFmtId="10" fontId="6" fillId="5" borderId="11" xfId="5" applyNumberFormat="1" applyFont="1" applyFill="1" applyBorder="1" applyAlignment="1">
      <alignment horizontal="center" vertical="center"/>
    </xf>
    <xf numFmtId="0" fontId="0" fillId="0" borderId="0" xfId="0" applyFont="1" applyAlignment="1">
      <alignment horizontal="center" vertical="center"/>
    </xf>
    <xf numFmtId="166" fontId="19" fillId="12" borderId="6" xfId="1" applyNumberFormat="1" applyFont="1" applyFill="1" applyBorder="1" applyAlignment="1">
      <alignment horizontal="right" vertical="center"/>
    </xf>
    <xf numFmtId="166" fontId="19" fillId="12" borderId="6" xfId="1" applyNumberFormat="1" applyFont="1" applyFill="1" applyBorder="1" applyAlignment="1">
      <alignment horizontal="center" vertical="center"/>
    </xf>
    <xf numFmtId="10" fontId="19" fillId="12" borderId="1" xfId="0" applyNumberFormat="1" applyFont="1" applyFill="1" applyBorder="1" applyAlignment="1">
      <alignment horizontal="right" vertical="center" wrapText="1"/>
    </xf>
    <xf numFmtId="166" fontId="19" fillId="12" borderId="1" xfId="1" applyNumberFormat="1" applyFont="1" applyFill="1" applyBorder="1" applyAlignment="1">
      <alignment horizontal="right" vertical="center"/>
    </xf>
    <xf numFmtId="9" fontId="6" fillId="5" borderId="1" xfId="5" applyFont="1" applyFill="1" applyBorder="1" applyAlignment="1">
      <alignment horizontal="right" vertical="center" wrapText="1"/>
    </xf>
    <xf numFmtId="9" fontId="6" fillId="5" borderId="1" xfId="3" applyFont="1" applyFill="1" applyBorder="1" applyAlignment="1">
      <alignment horizontal="right" vertical="center" wrapText="1"/>
    </xf>
    <xf numFmtId="9" fontId="6" fillId="5" borderId="1" xfId="0" applyNumberFormat="1" applyFont="1" applyFill="1" applyBorder="1" applyAlignment="1">
      <alignment horizontal="right" vertical="center" wrapText="1"/>
    </xf>
    <xf numFmtId="10" fontId="6" fillId="5" borderId="1" xfId="3" applyNumberFormat="1" applyFont="1" applyFill="1" applyBorder="1" applyAlignment="1">
      <alignment horizontal="right" vertical="center" wrapText="1"/>
    </xf>
    <xf numFmtId="9" fontId="6" fillId="5" borderId="1" xfId="3" applyFont="1" applyFill="1" applyBorder="1" applyAlignment="1">
      <alignment horizontal="center" vertical="center" wrapText="1"/>
    </xf>
    <xf numFmtId="9" fontId="6" fillId="5" borderId="1" xfId="0" applyNumberFormat="1" applyFont="1" applyFill="1" applyBorder="1" applyAlignment="1">
      <alignment horizontal="right" vertical="center"/>
    </xf>
    <xf numFmtId="10" fontId="6" fillId="0" borderId="25" xfId="5" applyNumberFormat="1" applyFont="1" applyFill="1" applyBorder="1" applyAlignment="1">
      <alignment horizontal="right" vertical="center" wrapText="1"/>
    </xf>
    <xf numFmtId="9" fontId="6" fillId="0" borderId="18" xfId="3" applyFont="1" applyFill="1" applyBorder="1" applyAlignment="1">
      <alignment horizontal="right" vertical="center"/>
    </xf>
    <xf numFmtId="0" fontId="0" fillId="13" borderId="6" xfId="0" applyFill="1" applyBorder="1" applyAlignment="1">
      <alignment horizontal="center" vertical="center" wrapText="1"/>
    </xf>
    <xf numFmtId="10" fontId="6" fillId="0" borderId="7" xfId="5" applyNumberFormat="1" applyFont="1" applyFill="1" applyBorder="1" applyAlignment="1">
      <alignment horizontal="right" vertical="center" wrapText="1"/>
    </xf>
    <xf numFmtId="0" fontId="10" fillId="2" borderId="26" xfId="0" applyFont="1" applyFill="1" applyBorder="1" applyAlignment="1">
      <alignment horizontal="center" vertical="center" wrapText="1"/>
    </xf>
    <xf numFmtId="10" fontId="0" fillId="0" borderId="16" xfId="0" applyNumberFormat="1" applyBorder="1" applyAlignment="1">
      <alignment horizontal="center" vertical="center"/>
    </xf>
    <xf numFmtId="10" fontId="0" fillId="0" borderId="3" xfId="0" applyNumberFormat="1" applyBorder="1" applyAlignment="1">
      <alignment horizontal="center" vertical="center"/>
    </xf>
    <xf numFmtId="10" fontId="0" fillId="0" borderId="3" xfId="0" applyNumberFormat="1" applyFill="1" applyBorder="1" applyAlignment="1">
      <alignment horizontal="center" vertical="center"/>
    </xf>
    <xf numFmtId="166" fontId="0" fillId="0" borderId="3" xfId="1" applyNumberFormat="1" applyFont="1" applyFill="1" applyBorder="1" applyAlignment="1">
      <alignment horizontal="center" vertical="center"/>
    </xf>
    <xf numFmtId="166" fontId="0" fillId="0" borderId="3" xfId="1" applyNumberFormat="1" applyFont="1" applyBorder="1" applyAlignment="1">
      <alignment horizontal="center" vertical="center"/>
    </xf>
    <xf numFmtId="10" fontId="17" fillId="12" borderId="3" xfId="0" applyNumberFormat="1" applyFont="1" applyFill="1" applyBorder="1" applyAlignment="1">
      <alignment horizontal="center" vertical="center"/>
    </xf>
    <xf numFmtId="166" fontId="17" fillId="12" borderId="3" xfId="1" applyNumberFormat="1" applyFont="1" applyFill="1" applyBorder="1" applyAlignment="1">
      <alignment horizontal="center" vertical="center"/>
    </xf>
    <xf numFmtId="166" fontId="0" fillId="0" borderId="3" xfId="0" applyNumberFormat="1" applyBorder="1" applyAlignment="1">
      <alignment horizontal="center" vertical="center"/>
    </xf>
    <xf numFmtId="9" fontId="0" fillId="0" borderId="3" xfId="0" applyNumberFormat="1" applyBorder="1" applyAlignment="1">
      <alignment vertical="center"/>
    </xf>
    <xf numFmtId="9" fontId="0" fillId="0" borderId="3" xfId="0" applyNumberFormat="1" applyBorder="1" applyAlignment="1">
      <alignment horizontal="center" vertical="center"/>
    </xf>
    <xf numFmtId="10" fontId="0" fillId="0" borderId="3" xfId="5" applyNumberFormat="1" applyFont="1" applyBorder="1" applyAlignment="1">
      <alignment horizontal="center" vertical="center"/>
    </xf>
    <xf numFmtId="166" fontId="0" fillId="0" borderId="3" xfId="1" applyNumberFormat="1" applyFont="1" applyBorder="1" applyAlignment="1">
      <alignment vertical="center"/>
    </xf>
    <xf numFmtId="41" fontId="0" fillId="0" borderId="3" xfId="2" applyFont="1" applyBorder="1" applyAlignment="1">
      <alignment horizontal="center" vertical="center"/>
    </xf>
    <xf numFmtId="0" fontId="0" fillId="0" borderId="3" xfId="0" applyBorder="1" applyAlignment="1">
      <alignment horizontal="center" vertical="center"/>
    </xf>
    <xf numFmtId="166" fontId="0" fillId="12" borderId="3" xfId="1" applyNumberFormat="1" applyFont="1" applyFill="1" applyBorder="1" applyAlignment="1">
      <alignment horizontal="center" vertical="center"/>
    </xf>
    <xf numFmtId="9" fontId="0" fillId="5" borderId="3" xfId="0" applyNumberFormat="1" applyFill="1" applyBorder="1" applyAlignment="1">
      <alignment vertical="center"/>
    </xf>
    <xf numFmtId="10" fontId="0" fillId="5" borderId="3" xfId="0" applyNumberFormat="1" applyFill="1" applyBorder="1" applyAlignment="1">
      <alignment horizontal="center" vertical="center"/>
    </xf>
    <xf numFmtId="10" fontId="0" fillId="0" borderId="17" xfId="0" applyNumberForma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5" fillId="0" borderId="7"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0" fillId="0" borderId="9" xfId="0" applyBorder="1" applyAlignment="1">
      <alignment horizontal="center" vertical="center" wrapText="1"/>
    </xf>
    <xf numFmtId="0" fontId="10" fillId="2" borderId="27" xfId="0" applyFont="1" applyFill="1" applyBorder="1" applyAlignment="1">
      <alignment horizontal="center" vertical="center" wrapText="1"/>
    </xf>
    <xf numFmtId="10" fontId="6" fillId="0" borderId="23" xfId="5" applyNumberFormat="1" applyFont="1" applyFill="1" applyBorder="1" applyAlignment="1">
      <alignment horizontal="right" vertical="center" wrapText="1"/>
    </xf>
    <xf numFmtId="10" fontId="6" fillId="5" borderId="10" xfId="5" applyNumberFormat="1" applyFont="1" applyFill="1" applyBorder="1" applyAlignment="1">
      <alignment horizontal="right" vertical="center" wrapText="1"/>
    </xf>
    <xf numFmtId="10" fontId="14" fillId="0" borderId="10" xfId="5" applyNumberFormat="1" applyFont="1" applyFill="1" applyBorder="1" applyAlignment="1">
      <alignment horizontal="center" vertical="center"/>
    </xf>
    <xf numFmtId="10" fontId="6" fillId="0" borderId="10" xfId="0" applyNumberFormat="1" applyFont="1" applyFill="1" applyBorder="1" applyAlignment="1">
      <alignment horizontal="center" vertical="center"/>
    </xf>
    <xf numFmtId="164" fontId="6" fillId="0" borderId="10" xfId="5" applyNumberFormat="1" applyFont="1" applyFill="1" applyBorder="1" applyAlignment="1">
      <alignment horizontal="right" vertical="center" wrapText="1"/>
    </xf>
    <xf numFmtId="164" fontId="6" fillId="0" borderId="24" xfId="5"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22" fillId="14" borderId="11" xfId="0" applyFont="1" applyFill="1" applyBorder="1" applyAlignment="1">
      <alignment horizontal="left" vertical="center" wrapText="1"/>
    </xf>
    <xf numFmtId="0" fontId="0" fillId="0" borderId="6" xfId="0" applyFont="1" applyBorder="1" applyAlignment="1">
      <alignment horizontal="center" vertical="center"/>
    </xf>
    <xf numFmtId="10" fontId="19" fillId="5" borderId="1" xfId="3" applyNumberFormat="1" applyFont="1" applyFill="1" applyBorder="1" applyAlignment="1">
      <alignment horizontal="right" vertical="center" wrapText="1"/>
    </xf>
    <xf numFmtId="10" fontId="19" fillId="0" borderId="1" xfId="3" applyNumberFormat="1" applyFont="1" applyFill="1" applyBorder="1" applyAlignment="1">
      <alignment horizontal="right" vertical="center" wrapText="1"/>
    </xf>
    <xf numFmtId="0" fontId="0" fillId="0" borderId="0" xfId="0" applyFont="1" applyFill="1" applyBorder="1"/>
    <xf numFmtId="10" fontId="6" fillId="0" borderId="1" xfId="0" applyNumberFormat="1" applyFont="1" applyFill="1" applyBorder="1" applyAlignment="1" applyProtection="1">
      <alignment horizontal="right" vertical="center" wrapText="1"/>
    </xf>
    <xf numFmtId="166" fontId="0" fillId="0" borderId="0" xfId="0" applyNumberFormat="1" applyFont="1"/>
    <xf numFmtId="41" fontId="0" fillId="0" borderId="0" xfId="0" applyNumberFormat="1" applyFont="1"/>
    <xf numFmtId="41" fontId="6" fillId="15" borderId="1" xfId="2" applyFont="1" applyFill="1" applyBorder="1" applyAlignment="1">
      <alignment horizontal="right" vertical="center"/>
    </xf>
    <xf numFmtId="41" fontId="6" fillId="15" borderId="1" xfId="2" applyFont="1" applyFill="1" applyBorder="1" applyAlignment="1">
      <alignment horizontal="center" vertical="center"/>
    </xf>
    <xf numFmtId="10" fontId="19" fillId="0" borderId="20" xfId="3" applyNumberFormat="1" applyFont="1" applyFill="1" applyBorder="1" applyAlignment="1">
      <alignment horizontal="right" vertical="center" wrapText="1"/>
    </xf>
    <xf numFmtId="9" fontId="6" fillId="0" borderId="20" xfId="5" applyFont="1" applyFill="1" applyBorder="1" applyAlignment="1">
      <alignment horizontal="right" vertical="center" wrapText="1"/>
    </xf>
    <xf numFmtId="0" fontId="0" fillId="15" borderId="3" xfId="0" applyFont="1" applyFill="1" applyBorder="1" applyAlignment="1">
      <alignment horizontal="center" vertical="center" wrapText="1"/>
    </xf>
    <xf numFmtId="166" fontId="6" fillId="15" borderId="20" xfId="1" applyNumberFormat="1" applyFont="1" applyFill="1" applyBorder="1" applyAlignment="1">
      <alignment horizontal="right" vertical="center" wrapText="1"/>
    </xf>
    <xf numFmtId="10" fontId="6" fillId="15" borderId="20" xfId="0" applyNumberFormat="1" applyFont="1" applyFill="1" applyBorder="1" applyAlignment="1">
      <alignment horizontal="right" vertical="center" wrapText="1"/>
    </xf>
    <xf numFmtId="10" fontId="6" fillId="15" borderId="1" xfId="5" applyNumberFormat="1" applyFont="1" applyFill="1" applyBorder="1" applyAlignment="1">
      <alignment horizontal="center" vertical="center" wrapText="1"/>
    </xf>
    <xf numFmtId="10" fontId="6" fillId="15" borderId="1" xfId="3" applyNumberFormat="1" applyFont="1" applyFill="1" applyBorder="1" applyAlignment="1">
      <alignment horizontal="right" vertical="center" wrapText="1"/>
    </xf>
    <xf numFmtId="165" fontId="6" fillId="15" borderId="1" xfId="1" applyNumberFormat="1" applyFont="1" applyFill="1" applyBorder="1" applyAlignment="1">
      <alignment horizontal="right" vertical="center" wrapText="1"/>
    </xf>
    <xf numFmtId="3" fontId="6" fillId="15" borderId="1" xfId="0" applyNumberFormat="1" applyFont="1" applyFill="1" applyBorder="1" applyAlignment="1">
      <alignment horizontal="center" vertical="center"/>
    </xf>
    <xf numFmtId="10" fontId="14" fillId="15" borderId="1" xfId="5" applyNumberFormat="1" applyFont="1" applyFill="1" applyBorder="1" applyAlignment="1">
      <alignment horizontal="center" vertical="center"/>
    </xf>
    <xf numFmtId="10" fontId="14" fillId="15" borderId="1" xfId="5" applyNumberFormat="1" applyFont="1" applyFill="1" applyBorder="1" applyAlignment="1">
      <alignment horizontal="center" vertical="center" wrapText="1"/>
    </xf>
    <xf numFmtId="41" fontId="14" fillId="0" borderId="10" xfId="2" applyFont="1" applyFill="1" applyBorder="1" applyAlignment="1">
      <alignment horizontal="center" vertical="center"/>
    </xf>
    <xf numFmtId="10" fontId="6" fillId="0" borderId="10" xfId="5" applyNumberFormat="1" applyFont="1" applyFill="1" applyBorder="1" applyAlignment="1">
      <alignment horizontal="center" vertical="center"/>
    </xf>
    <xf numFmtId="41" fontId="14" fillId="0" borderId="1" xfId="2" applyFont="1" applyFill="1" applyBorder="1" applyAlignment="1" applyProtection="1">
      <alignment horizontal="center" vertical="center" wrapText="1"/>
    </xf>
    <xf numFmtId="1" fontId="14" fillId="0" borderId="1" xfId="0" applyNumberFormat="1" applyFont="1" applyFill="1" applyBorder="1" applyAlignment="1">
      <alignment horizontal="center" vertical="center"/>
    </xf>
    <xf numFmtId="10" fontId="6" fillId="0" borderId="10" xfId="2"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10" fontId="14" fillId="15" borderId="1" xfId="5" applyNumberFormat="1" applyFont="1" applyFill="1" applyBorder="1" applyAlignment="1" applyProtection="1">
      <alignment horizontal="center" vertical="center" wrapText="1"/>
    </xf>
    <xf numFmtId="166" fontId="6" fillId="15" borderId="1" xfId="1" applyNumberFormat="1" applyFont="1" applyFill="1" applyBorder="1" applyAlignment="1">
      <alignment horizontal="center" vertical="center" wrapText="1"/>
    </xf>
    <xf numFmtId="0" fontId="14" fillId="15" borderId="1" xfId="0"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41" fontId="6" fillId="15" borderId="1" xfId="2" applyFont="1" applyFill="1" applyBorder="1" applyAlignment="1" applyProtection="1">
      <alignment horizontal="center" vertical="center" wrapText="1"/>
    </xf>
    <xf numFmtId="10" fontId="6" fillId="15" borderId="1" xfId="0" applyNumberFormat="1" applyFont="1" applyFill="1" applyBorder="1" applyAlignment="1">
      <alignment horizontal="right" vertical="center" wrapText="1"/>
    </xf>
    <xf numFmtId="10" fontId="6" fillId="15" borderId="1" xfId="5" applyNumberFormat="1" applyFont="1" applyFill="1" applyBorder="1" applyAlignment="1" applyProtection="1">
      <alignment horizontal="center" vertical="center" wrapText="1"/>
    </xf>
    <xf numFmtId="166" fontId="14" fillId="0" borderId="1"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wrapText="1"/>
    </xf>
    <xf numFmtId="41" fontId="26" fillId="15" borderId="1" xfId="2" applyFont="1" applyFill="1" applyBorder="1" applyAlignment="1" applyProtection="1">
      <alignment horizontal="center" vertical="center" wrapText="1"/>
    </xf>
    <xf numFmtId="41" fontId="26" fillId="0" borderId="1" xfId="2" applyFont="1" applyFill="1" applyBorder="1" applyAlignment="1" applyProtection="1">
      <alignment horizontal="center" vertical="center" wrapText="1"/>
    </xf>
    <xf numFmtId="10" fontId="6" fillId="15" borderId="10" xfId="5" applyNumberFormat="1" applyFont="1" applyFill="1" applyBorder="1" applyAlignment="1">
      <alignment horizontal="center" vertical="center"/>
    </xf>
    <xf numFmtId="10" fontId="6" fillId="15" borderId="1" xfId="5" applyNumberFormat="1" applyFont="1" applyFill="1" applyBorder="1" applyAlignment="1">
      <alignment horizontal="center" vertical="center"/>
    </xf>
    <xf numFmtId="2" fontId="6" fillId="15" borderId="1" xfId="3" applyNumberFormat="1" applyFont="1" applyFill="1" applyBorder="1" applyAlignment="1" applyProtection="1">
      <alignment horizontal="center" vertical="center" wrapText="1"/>
    </xf>
    <xf numFmtId="166" fontId="6" fillId="15" borderId="1" xfId="1" applyNumberFormat="1" applyFont="1" applyFill="1" applyBorder="1" applyAlignment="1" applyProtection="1">
      <alignment horizontal="center" vertical="center" wrapText="1"/>
    </xf>
    <xf numFmtId="41" fontId="6" fillId="15" borderId="1" xfId="0" applyNumberFormat="1" applyFont="1" applyFill="1" applyBorder="1" applyAlignment="1">
      <alignment horizontal="center" vertical="center"/>
    </xf>
    <xf numFmtId="0" fontId="6" fillId="15" borderId="1" xfId="0" applyFont="1" applyFill="1" applyBorder="1" applyAlignment="1">
      <alignment horizontal="center" vertical="center" wrapText="1"/>
    </xf>
    <xf numFmtId="10" fontId="18" fillId="0" borderId="1" xfId="5" applyNumberFormat="1" applyFont="1" applyFill="1" applyBorder="1" applyAlignment="1">
      <alignment horizontal="center" vertical="center"/>
    </xf>
    <xf numFmtId="166" fontId="19" fillId="5" borderId="1" xfId="1" applyNumberFormat="1" applyFont="1" applyFill="1" applyBorder="1" applyAlignment="1">
      <alignment horizontal="center" vertical="center" wrapText="1"/>
    </xf>
    <xf numFmtId="166" fontId="19" fillId="5" borderId="1" xfId="1" applyNumberFormat="1" applyFont="1" applyFill="1" applyBorder="1" applyAlignment="1">
      <alignment horizontal="center" vertical="center"/>
    </xf>
    <xf numFmtId="166" fontId="19" fillId="5" borderId="1" xfId="1" applyNumberFormat="1" applyFont="1" applyFill="1" applyBorder="1" applyAlignment="1">
      <alignment horizontal="right" vertical="center" wrapText="1"/>
    </xf>
    <xf numFmtId="0" fontId="27" fillId="12" borderId="1" xfId="0" applyFont="1" applyFill="1" applyBorder="1" applyAlignment="1">
      <alignment horizontal="center" vertical="center" wrapText="1"/>
    </xf>
    <xf numFmtId="0" fontId="28" fillId="0" borderId="0" xfId="0" applyFont="1"/>
    <xf numFmtId="0" fontId="28" fillId="0" borderId="1" xfId="0" applyFont="1" applyBorder="1" applyAlignment="1">
      <alignment horizontal="left" vertical="center"/>
    </xf>
    <xf numFmtId="0" fontId="28" fillId="0" borderId="1" xfId="0" applyFont="1" applyBorder="1" applyAlignment="1">
      <alignment horizontal="center" vertical="center"/>
    </xf>
    <xf numFmtId="0" fontId="27" fillId="12" borderId="1" xfId="0" applyFont="1" applyFill="1" applyBorder="1" applyAlignment="1">
      <alignment horizontal="left" vertical="center"/>
    </xf>
    <xf numFmtId="0" fontId="27" fillId="12" borderId="1" xfId="0" applyFont="1" applyFill="1" applyBorder="1" applyAlignment="1">
      <alignment horizontal="center" vertical="center"/>
    </xf>
    <xf numFmtId="0" fontId="29" fillId="0" borderId="1" xfId="0" applyFont="1" applyBorder="1" applyAlignment="1">
      <alignment horizontal="center" vertical="center"/>
    </xf>
    <xf numFmtId="0" fontId="28" fillId="0" borderId="1" xfId="0" applyFont="1" applyBorder="1" applyAlignment="1">
      <alignment horizont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8" fillId="0" borderId="6" xfId="0" applyFont="1" applyBorder="1" applyAlignment="1">
      <alignment horizontal="center"/>
    </xf>
    <xf numFmtId="0" fontId="28" fillId="0" borderId="7" xfId="0" applyFont="1" applyBorder="1" applyAlignment="1">
      <alignment horizontal="center"/>
    </xf>
    <xf numFmtId="0" fontId="29" fillId="0" borderId="23" xfId="0" applyFont="1" applyBorder="1" applyAlignment="1">
      <alignment horizontal="center" vertical="center"/>
    </xf>
    <xf numFmtId="0" fontId="29" fillId="0" borderId="10" xfId="0" applyFont="1" applyBorder="1" applyAlignment="1">
      <alignment horizontal="center" vertical="center"/>
    </xf>
    <xf numFmtId="0" fontId="29" fillId="0" borderId="24" xfId="0" applyFont="1" applyBorder="1" applyAlignment="1">
      <alignment horizontal="center" vertical="center"/>
    </xf>
    <xf numFmtId="0" fontId="28" fillId="0" borderId="23" xfId="0" applyFont="1" applyBorder="1" applyAlignment="1">
      <alignment horizontal="center"/>
    </xf>
    <xf numFmtId="0" fontId="28" fillId="0" borderId="10" xfId="0" applyFont="1" applyBorder="1" applyAlignment="1">
      <alignment horizontal="center"/>
    </xf>
    <xf numFmtId="0" fontId="28" fillId="0" borderId="24" xfId="0" applyFont="1" applyBorder="1" applyAlignment="1">
      <alignment horizontal="center"/>
    </xf>
    <xf numFmtId="0" fontId="30" fillId="12" borderId="11" xfId="0" applyFont="1" applyFill="1" applyBorder="1" applyAlignment="1">
      <alignment horizontal="center" vertical="center" wrapText="1"/>
    </xf>
    <xf numFmtId="0" fontId="30" fillId="12" borderId="9" xfId="0" applyFont="1" applyFill="1" applyBorder="1" applyAlignment="1">
      <alignment horizontal="center" vertical="center" wrapText="1"/>
    </xf>
    <xf numFmtId="0" fontId="30" fillId="12" borderId="8" xfId="0" applyFont="1" applyFill="1" applyBorder="1" applyAlignment="1">
      <alignment horizontal="center" vertical="center" wrapText="1"/>
    </xf>
    <xf numFmtId="0" fontId="29" fillId="0" borderId="36" xfId="0" applyFont="1" applyBorder="1" applyAlignment="1">
      <alignment horizontal="center" vertical="center"/>
    </xf>
    <xf numFmtId="0" fontId="29" fillId="0" borderId="13" xfId="0" applyFont="1" applyBorder="1" applyAlignment="1">
      <alignment horizontal="center" vertical="center"/>
    </xf>
    <xf numFmtId="0" fontId="29" fillId="0" borderId="37" xfId="0" applyFont="1" applyBorder="1" applyAlignment="1">
      <alignment horizontal="center" vertical="center"/>
    </xf>
    <xf numFmtId="0" fontId="28" fillId="0" borderId="36" xfId="0" applyFont="1" applyBorder="1" applyAlignment="1">
      <alignment horizontal="center"/>
    </xf>
    <xf numFmtId="0" fontId="28" fillId="0" borderId="13" xfId="0" applyFont="1" applyBorder="1" applyAlignment="1">
      <alignment horizontal="center"/>
    </xf>
    <xf numFmtId="0" fontId="28" fillId="0" borderId="37" xfId="0" applyFont="1" applyBorder="1" applyAlignment="1">
      <alignment horizontal="center"/>
    </xf>
    <xf numFmtId="0" fontId="30" fillId="12" borderId="28" xfId="0" applyFont="1" applyFill="1" applyBorder="1" applyAlignment="1">
      <alignment horizontal="right" vertical="center"/>
    </xf>
    <xf numFmtId="0" fontId="30" fillId="12" borderId="29" xfId="0"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28" xfId="0" applyFont="1" applyFill="1" applyBorder="1" applyAlignment="1">
      <alignment horizontal="center" vertical="center"/>
    </xf>
    <xf numFmtId="9" fontId="27" fillId="0" borderId="34" xfId="5" applyNumberFormat="1" applyFont="1" applyBorder="1" applyAlignment="1">
      <alignment horizontal="center" vertical="center"/>
    </xf>
    <xf numFmtId="9" fontId="27" fillId="0" borderId="35" xfId="5" applyNumberFormat="1" applyFont="1" applyBorder="1" applyAlignment="1">
      <alignment horizontal="center" vertical="center"/>
    </xf>
    <xf numFmtId="0" fontId="25" fillId="17" borderId="6" xfId="0" applyFont="1" applyFill="1" applyBorder="1" applyAlignment="1">
      <alignment horizontal="center" vertical="center" wrapText="1"/>
    </xf>
    <xf numFmtId="41" fontId="0" fillId="0" borderId="0" xfId="2" applyFont="1"/>
    <xf numFmtId="0" fontId="25" fillId="16" borderId="6" xfId="0" applyFont="1" applyFill="1" applyBorder="1" applyAlignment="1">
      <alignment horizontal="center" vertical="center" wrapText="1"/>
    </xf>
    <xf numFmtId="10" fontId="18" fillId="0" borderId="20" xfId="5" applyNumberFormat="1" applyFont="1" applyFill="1" applyBorder="1" applyAlignment="1">
      <alignment horizontal="right" vertical="center" wrapText="1"/>
    </xf>
    <xf numFmtId="41" fontId="6" fillId="0" borderId="1" xfId="0" applyNumberFormat="1" applyFont="1" applyFill="1" applyBorder="1" applyAlignment="1">
      <alignment horizontal="center" vertical="center" wrapText="1"/>
    </xf>
    <xf numFmtId="166" fontId="6" fillId="5" borderId="3" xfId="1" applyNumberFormat="1" applyFont="1" applyFill="1" applyBorder="1" applyAlignment="1">
      <alignment horizontal="right" vertical="center" wrapText="1"/>
    </xf>
    <xf numFmtId="166" fontId="6" fillId="5" borderId="6" xfId="1" applyNumberFormat="1" applyFont="1" applyFill="1" applyBorder="1" applyAlignment="1">
      <alignment horizontal="right" vertical="center"/>
    </xf>
    <xf numFmtId="41" fontId="6" fillId="0" borderId="1" xfId="2" applyFont="1" applyFill="1" applyBorder="1" applyAlignment="1">
      <alignment horizontal="center" vertical="center"/>
    </xf>
    <xf numFmtId="1" fontId="6" fillId="0" borderId="1" xfId="0" applyNumberFormat="1" applyFont="1" applyFill="1" applyBorder="1" applyAlignment="1">
      <alignment horizontal="center" vertical="center"/>
    </xf>
    <xf numFmtId="0" fontId="0" fillId="9" borderId="0" xfId="0" applyFill="1"/>
    <xf numFmtId="0" fontId="0" fillId="9" borderId="0" xfId="0" applyFill="1" applyAlignment="1">
      <alignment wrapText="1"/>
    </xf>
    <xf numFmtId="0" fontId="32" fillId="9" borderId="0" xfId="0" applyFont="1" applyFill="1"/>
    <xf numFmtId="0" fontId="33" fillId="9" borderId="0" xfId="0" applyFont="1" applyFill="1" applyAlignment="1">
      <alignment horizontal="center" vertical="center"/>
    </xf>
    <xf numFmtId="0" fontId="33" fillId="9" borderId="0" xfId="0" applyFont="1" applyFill="1" applyBorder="1" applyAlignment="1">
      <alignment horizontal="center" vertical="center" wrapText="1"/>
    </xf>
    <xf numFmtId="0" fontId="33" fillId="9" borderId="0" xfId="0" applyFont="1" applyFill="1" applyBorder="1" applyAlignment="1">
      <alignment horizontal="left" vertical="center" wrapText="1"/>
    </xf>
    <xf numFmtId="0" fontId="35" fillId="9" borderId="0" xfId="0" applyFont="1" applyFill="1"/>
    <xf numFmtId="0" fontId="35" fillId="9" borderId="0" xfId="0" applyFont="1" applyFill="1" applyAlignment="1">
      <alignment wrapText="1"/>
    </xf>
    <xf numFmtId="0" fontId="35" fillId="9" borderId="0" xfId="0" applyFont="1" applyFill="1" applyAlignment="1"/>
    <xf numFmtId="0" fontId="35" fillId="9" borderId="0" xfId="0" applyFont="1" applyFill="1" applyAlignment="1">
      <alignment horizontal="right"/>
    </xf>
    <xf numFmtId="0" fontId="35" fillId="9" borderId="0" xfId="0" applyFont="1" applyFill="1" applyAlignment="1">
      <alignment horizontal="right" vertical="center"/>
    </xf>
    <xf numFmtId="164" fontId="36" fillId="9" borderId="0" xfId="5" applyNumberFormat="1" applyFont="1" applyFill="1" applyBorder="1" applyAlignment="1">
      <alignment horizontal="center" vertical="center" wrapText="1"/>
    </xf>
    <xf numFmtId="0" fontId="32" fillId="9" borderId="28" xfId="0" applyFont="1" applyFill="1" applyBorder="1" applyAlignment="1">
      <alignment horizontal="center" vertical="center" wrapText="1"/>
    </xf>
    <xf numFmtId="0" fontId="32" fillId="9" borderId="29" xfId="0" applyFont="1" applyFill="1" applyBorder="1" applyAlignment="1">
      <alignment horizontal="center" vertical="center" wrapText="1"/>
    </xf>
    <xf numFmtId="0" fontId="32" fillId="9" borderId="30"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3" fillId="9" borderId="10" xfId="0" applyFont="1" applyFill="1" applyBorder="1" applyAlignment="1">
      <alignment horizontal="center" vertical="center" wrapText="1"/>
    </xf>
    <xf numFmtId="0" fontId="33" fillId="9" borderId="10" xfId="0" applyFont="1" applyFill="1" applyBorder="1" applyAlignment="1">
      <alignment horizontal="left" vertical="center" wrapText="1"/>
    </xf>
    <xf numFmtId="41" fontId="36" fillId="9" borderId="10" xfId="2" applyFont="1" applyFill="1" applyBorder="1" applyAlignment="1">
      <alignment horizontal="right" vertical="center" wrapText="1"/>
    </xf>
    <xf numFmtId="41" fontId="36" fillId="9" borderId="24" xfId="2" applyFont="1" applyFill="1" applyBorder="1" applyAlignment="1">
      <alignment horizontal="right" vertical="center" wrapText="1"/>
    </xf>
    <xf numFmtId="0" fontId="33" fillId="9" borderId="6"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9" borderId="1" xfId="0" applyFont="1" applyFill="1" applyBorder="1" applyAlignment="1">
      <alignment horizontal="left" vertical="center" wrapText="1"/>
    </xf>
    <xf numFmtId="10" fontId="36" fillId="9" borderId="1" xfId="5" applyNumberFormat="1" applyFont="1" applyFill="1" applyBorder="1" applyAlignment="1">
      <alignment horizontal="right" vertical="center" wrapText="1"/>
    </xf>
    <xf numFmtId="10" fontId="36" fillId="9" borderId="7" xfId="5" applyNumberFormat="1" applyFont="1" applyFill="1" applyBorder="1" applyAlignment="1">
      <alignment horizontal="right" vertical="center" wrapText="1"/>
    </xf>
    <xf numFmtId="41" fontId="36" fillId="9" borderId="1" xfId="2" applyFont="1" applyFill="1" applyBorder="1" applyAlignment="1">
      <alignment horizontal="right" vertical="center" wrapText="1"/>
    </xf>
    <xf numFmtId="41" fontId="36" fillId="9" borderId="7" xfId="2" applyFont="1" applyFill="1" applyBorder="1" applyAlignment="1">
      <alignment horizontal="right" vertical="center" wrapText="1"/>
    </xf>
    <xf numFmtId="167" fontId="36" fillId="9" borderId="1" xfId="2" applyNumberFormat="1" applyFont="1" applyFill="1" applyBorder="1" applyAlignment="1">
      <alignment horizontal="right" vertical="center" wrapText="1"/>
    </xf>
    <xf numFmtId="167" fontId="36" fillId="9" borderId="7" xfId="2" applyNumberFormat="1" applyFont="1" applyFill="1" applyBorder="1" applyAlignment="1">
      <alignment horizontal="right" vertical="center" wrapText="1"/>
    </xf>
    <xf numFmtId="0" fontId="33" fillId="9" borderId="8" xfId="0" applyFont="1" applyFill="1" applyBorder="1" applyAlignment="1">
      <alignment horizontal="center" vertical="center" wrapText="1"/>
    </xf>
    <xf numFmtId="0" fontId="33" fillId="9" borderId="11" xfId="0" applyFont="1" applyFill="1" applyBorder="1" applyAlignment="1">
      <alignment horizontal="center" vertical="center" wrapText="1"/>
    </xf>
    <xf numFmtId="0" fontId="33" fillId="9" borderId="11" xfId="0" applyFont="1" applyFill="1" applyBorder="1" applyAlignment="1">
      <alignment horizontal="left" vertical="center" wrapText="1"/>
    </xf>
    <xf numFmtId="41" fontId="36" fillId="9" borderId="11" xfId="2" applyFont="1" applyFill="1" applyBorder="1" applyAlignment="1">
      <alignment horizontal="right" vertical="center" wrapText="1"/>
    </xf>
    <xf numFmtId="41" fontId="36" fillId="9" borderId="9" xfId="2" applyFont="1" applyFill="1" applyBorder="1" applyAlignment="1">
      <alignment horizontal="right" vertical="center" wrapText="1"/>
    </xf>
    <xf numFmtId="0" fontId="33" fillId="9" borderId="4" xfId="0" applyFont="1" applyFill="1" applyBorder="1" applyAlignment="1">
      <alignment horizontal="center" vertical="center" wrapText="1"/>
    </xf>
    <xf numFmtId="0" fontId="33" fillId="9" borderId="14" xfId="0" applyFont="1" applyFill="1" applyBorder="1" applyAlignment="1">
      <alignment horizontal="center" vertical="center" wrapText="1"/>
    </xf>
    <xf numFmtId="0" fontId="33" fillId="9" borderId="14" xfId="0" applyFont="1" applyFill="1" applyBorder="1" applyAlignment="1">
      <alignment horizontal="left" vertical="center" wrapText="1"/>
    </xf>
    <xf numFmtId="10" fontId="36" fillId="9" borderId="14" xfId="5" applyNumberFormat="1" applyFont="1" applyFill="1" applyBorder="1" applyAlignment="1">
      <alignment horizontal="right" vertical="center" wrapText="1"/>
    </xf>
    <xf numFmtId="10" fontId="36" fillId="9" borderId="5" xfId="5" applyNumberFormat="1" applyFont="1" applyFill="1" applyBorder="1" applyAlignment="1">
      <alignment horizontal="right" vertical="center" wrapText="1"/>
    </xf>
    <xf numFmtId="0" fontId="33" fillId="9" borderId="28" xfId="0" applyFont="1" applyFill="1" applyBorder="1" applyAlignment="1">
      <alignment horizontal="center" vertical="center" wrapText="1"/>
    </xf>
    <xf numFmtId="0" fontId="33" fillId="9" borderId="29" xfId="0" applyFont="1" applyFill="1" applyBorder="1" applyAlignment="1">
      <alignment horizontal="center" vertical="center" wrapText="1"/>
    </xf>
    <xf numFmtId="0" fontId="33" fillId="9" borderId="29" xfId="0" applyFont="1" applyFill="1" applyBorder="1" applyAlignment="1">
      <alignment horizontal="left" vertical="center" wrapText="1"/>
    </xf>
    <xf numFmtId="10" fontId="36" fillId="9" borderId="29" xfId="5" applyNumberFormat="1" applyFont="1" applyFill="1" applyBorder="1" applyAlignment="1">
      <alignment horizontal="right" vertical="center" wrapText="1"/>
    </xf>
    <xf numFmtId="10" fontId="36" fillId="9" borderId="30" xfId="5" applyNumberFormat="1" applyFont="1" applyFill="1" applyBorder="1" applyAlignment="1">
      <alignment horizontal="right" vertical="center" wrapText="1"/>
    </xf>
    <xf numFmtId="0" fontId="34" fillId="9" borderId="29" xfId="0" applyFont="1" applyFill="1" applyBorder="1" applyAlignment="1">
      <alignment horizontal="center" vertical="center" wrapText="1"/>
    </xf>
    <xf numFmtId="0" fontId="34" fillId="9" borderId="30" xfId="0" applyFont="1" applyFill="1" applyBorder="1" applyAlignment="1">
      <alignment horizontal="center" vertical="center" wrapText="1"/>
    </xf>
    <xf numFmtId="41" fontId="36" fillId="9" borderId="14" xfId="2" applyFont="1" applyFill="1" applyBorder="1" applyAlignment="1">
      <alignment horizontal="right" vertical="center" wrapText="1"/>
    </xf>
    <xf numFmtId="41" fontId="36" fillId="9" borderId="14" xfId="2" applyFont="1" applyFill="1" applyBorder="1" applyAlignment="1">
      <alignment horizontal="center" vertical="center" wrapText="1"/>
    </xf>
    <xf numFmtId="41" fontId="36" fillId="9" borderId="5" xfId="2" applyFont="1" applyFill="1" applyBorder="1" applyAlignment="1">
      <alignment horizontal="center" vertical="center" wrapText="1"/>
    </xf>
    <xf numFmtId="41" fontId="36" fillId="9" borderId="1" xfId="2" applyFont="1" applyFill="1" applyBorder="1" applyAlignment="1">
      <alignment horizontal="center" vertical="center" wrapText="1"/>
    </xf>
    <xf numFmtId="41" fontId="36" fillId="9" borderId="7" xfId="2" applyFont="1" applyFill="1" applyBorder="1" applyAlignment="1">
      <alignment horizontal="center" vertical="center" wrapText="1"/>
    </xf>
    <xf numFmtId="10" fontId="36" fillId="9" borderId="1" xfId="5" applyNumberFormat="1" applyFont="1" applyFill="1" applyBorder="1" applyAlignment="1">
      <alignment horizontal="center" vertical="center" wrapText="1"/>
    </xf>
    <xf numFmtId="10" fontId="36" fillId="9" borderId="7" xfId="5" applyNumberFormat="1" applyFont="1" applyFill="1" applyBorder="1" applyAlignment="1">
      <alignment horizontal="center" vertical="center" wrapText="1"/>
    </xf>
    <xf numFmtId="10" fontId="36" fillId="9" borderId="11" xfId="5" applyNumberFormat="1" applyFont="1" applyFill="1" applyBorder="1" applyAlignment="1">
      <alignment horizontal="right" vertical="center" wrapText="1"/>
    </xf>
    <xf numFmtId="10" fontId="36" fillId="9" borderId="11" xfId="5" applyNumberFormat="1" applyFont="1" applyFill="1" applyBorder="1" applyAlignment="1">
      <alignment horizontal="center" vertical="center" wrapText="1"/>
    </xf>
    <xf numFmtId="10" fontId="36" fillId="9" borderId="9" xfId="5" applyNumberFormat="1" applyFont="1" applyFill="1" applyBorder="1" applyAlignment="1">
      <alignment horizontal="center" vertical="center" wrapText="1"/>
    </xf>
    <xf numFmtId="0" fontId="33" fillId="0" borderId="14" xfId="0" applyFont="1" applyFill="1" applyBorder="1" applyAlignment="1">
      <alignment horizontal="left" vertical="center" wrapText="1"/>
    </xf>
    <xf numFmtId="0" fontId="33" fillId="0" borderId="1" xfId="0" applyFont="1" applyFill="1" applyBorder="1" applyAlignment="1">
      <alignment horizontal="left" vertical="center" wrapText="1"/>
    </xf>
    <xf numFmtId="165" fontId="6" fillId="0" borderId="1" xfId="1" applyNumberFormat="1" applyFont="1" applyFill="1" applyBorder="1" applyAlignment="1">
      <alignment horizontal="right" vertical="center" wrapText="1"/>
    </xf>
    <xf numFmtId="9" fontId="6" fillId="0" borderId="1" xfId="1" applyNumberFormat="1" applyFont="1" applyFill="1" applyBorder="1" applyAlignment="1">
      <alignment horizontal="center" vertical="center" wrapText="1"/>
    </xf>
    <xf numFmtId="10" fontId="6" fillId="12" borderId="6" xfId="5" applyNumberFormat="1" applyFont="1" applyFill="1" applyBorder="1" applyAlignment="1">
      <alignment horizontal="center" vertical="center" wrapText="1"/>
    </xf>
    <xf numFmtId="164" fontId="6" fillId="0" borderId="13" xfId="5" applyNumberFormat="1" applyFont="1" applyFill="1" applyBorder="1" applyAlignment="1">
      <alignment horizontal="right" vertical="center" wrapText="1"/>
    </xf>
    <xf numFmtId="10" fontId="6" fillId="0" borderId="13" xfId="5" applyNumberFormat="1" applyFont="1" applyFill="1" applyBorder="1" applyAlignment="1">
      <alignment horizontal="right" vertical="center" wrapText="1"/>
    </xf>
    <xf numFmtId="41" fontId="6" fillId="0" borderId="1" xfId="2" applyFont="1" applyFill="1" applyBorder="1" applyAlignment="1">
      <alignment horizontal="right" vertical="center"/>
    </xf>
    <xf numFmtId="10" fontId="6" fillId="0" borderId="41" xfId="5" applyNumberFormat="1" applyFont="1" applyFill="1" applyBorder="1" applyAlignment="1">
      <alignment horizontal="right" vertical="center" wrapText="1"/>
    </xf>
    <xf numFmtId="10" fontId="6" fillId="0" borderId="17" xfId="5" applyNumberFormat="1" applyFont="1" applyFill="1" applyBorder="1" applyAlignment="1">
      <alignment horizontal="right" vertical="center"/>
    </xf>
    <xf numFmtId="164" fontId="6" fillId="0" borderId="37" xfId="5" applyNumberFormat="1" applyFont="1" applyFill="1" applyBorder="1" applyAlignment="1">
      <alignment horizontal="right" vertical="center" wrapText="1"/>
    </xf>
    <xf numFmtId="10" fontId="18" fillId="0" borderId="20" xfId="3" applyNumberFormat="1" applyFont="1" applyFill="1" applyBorder="1" applyAlignment="1">
      <alignment horizontal="right" vertical="center" wrapText="1"/>
    </xf>
    <xf numFmtId="10" fontId="18" fillId="0" borderId="21" xfId="5" applyNumberFormat="1" applyFont="1" applyFill="1" applyBorder="1" applyAlignment="1">
      <alignment horizontal="right" vertical="center" wrapText="1"/>
    </xf>
    <xf numFmtId="10" fontId="18" fillId="0" borderId="20" xfId="0" applyNumberFormat="1" applyFont="1" applyFill="1" applyBorder="1" applyAlignment="1">
      <alignment horizontal="right" vertical="center" wrapText="1"/>
    </xf>
    <xf numFmtId="0" fontId="0" fillId="0" borderId="0" xfId="0" applyAlignment="1">
      <alignment horizontal="center" vertical="center" wrapText="1"/>
    </xf>
    <xf numFmtId="166" fontId="18" fillId="0" borderId="20" xfId="1" applyNumberFormat="1" applyFont="1" applyFill="1" applyBorder="1" applyAlignment="1">
      <alignment horizontal="right" vertical="center" wrapText="1"/>
    </xf>
    <xf numFmtId="164" fontId="6" fillId="12" borderId="1" xfId="5" applyNumberFormat="1" applyFont="1" applyFill="1" applyBorder="1" applyAlignment="1">
      <alignment horizontal="right" vertical="center" wrapText="1"/>
    </xf>
    <xf numFmtId="166" fontId="18" fillId="0" borderId="20" xfId="1" applyNumberFormat="1" applyFont="1" applyFill="1" applyBorder="1" applyAlignment="1">
      <alignment horizontal="right" vertical="center"/>
    </xf>
    <xf numFmtId="165" fontId="6" fillId="12" borderId="1" xfId="0" applyNumberFormat="1" applyFont="1" applyFill="1" applyBorder="1" applyAlignment="1">
      <alignment horizontal="right" vertical="center" wrapText="1"/>
    </xf>
    <xf numFmtId="164" fontId="6" fillId="12" borderId="7" xfId="5" applyNumberFormat="1" applyFont="1" applyFill="1" applyBorder="1" applyAlignment="1">
      <alignment horizontal="right" vertical="center" wrapText="1"/>
    </xf>
    <xf numFmtId="9" fontId="6" fillId="5" borderId="1" xfId="5" applyNumberFormat="1" applyFont="1" applyFill="1" applyBorder="1" applyAlignment="1">
      <alignment horizontal="right" vertical="center" wrapText="1"/>
    </xf>
    <xf numFmtId="0" fontId="0"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10" fontId="18" fillId="0" borderId="1" xfId="5" applyNumberFormat="1" applyFont="1" applyFill="1" applyBorder="1" applyAlignment="1">
      <alignment horizontal="center" vertical="center" wrapText="1"/>
    </xf>
    <xf numFmtId="9" fontId="14" fillId="0" borderId="1" xfId="4" applyNumberFormat="1" applyFont="1" applyFill="1" applyBorder="1" applyAlignment="1" applyProtection="1">
      <alignment horizontal="center" vertical="center" wrapText="1"/>
    </xf>
    <xf numFmtId="9" fontId="6" fillId="0" borderId="1" xfId="5" applyNumberFormat="1" applyFont="1" applyFill="1" applyBorder="1" applyAlignment="1">
      <alignment horizontal="right" vertical="center"/>
    </xf>
    <xf numFmtId="41" fontId="6" fillId="0" borderId="10" xfId="2" applyFont="1" applyFill="1" applyBorder="1" applyAlignment="1">
      <alignment horizontal="center" vertical="center"/>
    </xf>
    <xf numFmtId="10" fontId="18" fillId="0" borderId="20" xfId="3" applyNumberFormat="1" applyFont="1" applyFill="1" applyBorder="1" applyAlignment="1">
      <alignment horizontal="center" vertical="center" wrapText="1"/>
    </xf>
    <xf numFmtId="164" fontId="6" fillId="5" borderId="10" xfId="5" applyNumberFormat="1" applyFont="1" applyFill="1" applyBorder="1" applyAlignment="1">
      <alignment horizontal="right" vertical="center" wrapText="1"/>
    </xf>
    <xf numFmtId="164" fontId="6" fillId="5" borderId="1" xfId="5" applyNumberFormat="1" applyFont="1" applyFill="1" applyBorder="1" applyAlignment="1">
      <alignment horizontal="right" vertical="center" wrapText="1"/>
    </xf>
    <xf numFmtId="10" fontId="18" fillId="0" borderId="1" xfId="0" applyNumberFormat="1" applyFont="1" applyFill="1" applyBorder="1" applyAlignment="1">
      <alignment horizontal="center" vertical="center"/>
    </xf>
    <xf numFmtId="166" fontId="18" fillId="0" borderId="1" xfId="0" applyNumberFormat="1" applyFont="1" applyFill="1" applyBorder="1" applyAlignment="1">
      <alignment horizontal="center" vertical="center" wrapText="1"/>
    </xf>
    <xf numFmtId="10" fontId="18" fillId="0" borderId="11" xfId="5" applyNumberFormat="1" applyFont="1" applyFill="1" applyBorder="1" applyAlignment="1">
      <alignment horizontal="center" vertical="center"/>
    </xf>
    <xf numFmtId="166" fontId="31" fillId="0" borderId="20" xfId="1" applyNumberFormat="1" applyFont="1" applyFill="1" applyBorder="1" applyAlignment="1">
      <alignment horizontal="right" vertical="center" wrapText="1"/>
    </xf>
    <xf numFmtId="10" fontId="18" fillId="0" borderId="20" xfId="0" applyNumberFormat="1" applyFont="1" applyFill="1" applyBorder="1" applyAlignment="1">
      <alignment horizontal="center" vertical="center" wrapText="1"/>
    </xf>
    <xf numFmtId="164" fontId="6" fillId="12" borderId="1" xfId="0" applyNumberFormat="1" applyFont="1" applyFill="1" applyBorder="1" applyAlignment="1">
      <alignment horizontal="right" vertical="center" wrapText="1"/>
    </xf>
    <xf numFmtId="9" fontId="6" fillId="12" borderId="1" xfId="0" applyNumberFormat="1" applyFont="1" applyFill="1" applyBorder="1" applyAlignment="1">
      <alignment horizontal="right" vertical="center" wrapText="1"/>
    </xf>
    <xf numFmtId="10" fontId="18" fillId="0" borderId="22" xfId="3" applyNumberFormat="1" applyFont="1" applyFill="1" applyBorder="1" applyAlignment="1">
      <alignment horizontal="right" vertical="center"/>
    </xf>
    <xf numFmtId="10" fontId="38" fillId="12" borderId="1" xfId="0" applyNumberFormat="1" applyFont="1" applyFill="1" applyBorder="1" applyAlignment="1">
      <alignment horizontal="right" vertical="center" wrapText="1"/>
    </xf>
    <xf numFmtId="0" fontId="0" fillId="0" borderId="0" xfId="0" applyAlignment="1">
      <alignment wrapText="1"/>
    </xf>
    <xf numFmtId="0" fontId="0" fillId="0" borderId="0" xfId="0" applyAlignment="1">
      <alignment vertical="center" wrapText="1"/>
    </xf>
    <xf numFmtId="0" fontId="0" fillId="9" borderId="0" xfId="0" applyFill="1" applyAlignment="1">
      <alignment horizontal="left" vertical="center" wrapText="1"/>
    </xf>
    <xf numFmtId="0" fontId="0" fillId="9" borderId="0" xfId="0" applyFill="1" applyAlignment="1">
      <alignment horizontal="center" vertical="center"/>
    </xf>
    <xf numFmtId="10" fontId="0" fillId="9" borderId="0" xfId="5" applyNumberFormat="1" applyFont="1" applyFill="1"/>
    <xf numFmtId="0" fontId="0" fillId="9" borderId="0" xfId="0" applyFill="1" applyBorder="1"/>
    <xf numFmtId="0" fontId="0" fillId="9" borderId="0" xfId="0" applyFill="1" applyBorder="1" applyAlignment="1">
      <alignment horizontal="left" vertical="center" wrapText="1"/>
    </xf>
    <xf numFmtId="0" fontId="0" fillId="9" borderId="0" xfId="0" applyFill="1" applyBorder="1" applyAlignment="1">
      <alignment horizontal="center" vertical="center" wrapText="1"/>
    </xf>
    <xf numFmtId="0" fontId="0" fillId="9" borderId="0" xfId="0" applyFill="1" applyBorder="1" applyAlignment="1">
      <alignment horizontal="center" vertical="center"/>
    </xf>
    <xf numFmtId="164" fontId="6" fillId="9" borderId="0" xfId="5" applyNumberFormat="1" applyFont="1" applyFill="1" applyBorder="1" applyAlignment="1">
      <alignment horizontal="right" vertical="center" wrapText="1"/>
    </xf>
    <xf numFmtId="0" fontId="0" fillId="9" borderId="0" xfId="0" applyFill="1" applyAlignment="1">
      <alignment horizontal="center"/>
    </xf>
    <xf numFmtId="0" fontId="41" fillId="9" borderId="0" xfId="0" applyFont="1" applyFill="1" applyAlignment="1">
      <alignment horizontal="center"/>
    </xf>
    <xf numFmtId="0" fontId="17" fillId="9" borderId="43" xfId="0" applyFont="1" applyFill="1" applyBorder="1" applyAlignment="1">
      <alignment horizontal="center" vertical="center"/>
    </xf>
    <xf numFmtId="0" fontId="39" fillId="18" borderId="52" xfId="0" applyFont="1" applyFill="1" applyBorder="1" applyAlignment="1">
      <alignment horizontal="center" vertical="center" wrapText="1"/>
    </xf>
    <xf numFmtId="0" fontId="39" fillId="18" borderId="53" xfId="0" applyFont="1" applyFill="1" applyBorder="1" applyAlignment="1">
      <alignment horizontal="center" vertical="center" wrapText="1"/>
    </xf>
    <xf numFmtId="0" fontId="39" fillId="18" borderId="54" xfId="0" applyFont="1" applyFill="1" applyBorder="1" applyAlignment="1">
      <alignment horizontal="center" vertical="center" wrapText="1"/>
    </xf>
    <xf numFmtId="10" fontId="39" fillId="18" borderId="54" xfId="5" applyNumberFormat="1" applyFont="1" applyFill="1" applyBorder="1" applyAlignment="1">
      <alignment horizontal="center" vertical="center" wrapText="1"/>
    </xf>
    <xf numFmtId="0" fontId="39" fillId="18" borderId="55" xfId="0" applyFont="1" applyFill="1" applyBorder="1" applyAlignment="1">
      <alignment horizontal="center" vertical="center" wrapText="1"/>
    </xf>
    <xf numFmtId="43" fontId="6" fillId="12" borderId="1" xfId="1" applyFont="1" applyFill="1" applyBorder="1" applyAlignment="1">
      <alignment horizontal="right" vertical="center" wrapText="1"/>
    </xf>
    <xf numFmtId="10" fontId="17" fillId="0" borderId="3" xfId="0" applyNumberFormat="1" applyFont="1" applyFill="1" applyBorder="1" applyAlignment="1">
      <alignment horizontal="center" vertical="center"/>
    </xf>
    <xf numFmtId="166" fontId="6" fillId="0" borderId="6" xfId="1" applyNumberFormat="1" applyFont="1" applyFill="1" applyBorder="1" applyAlignment="1">
      <alignment horizontal="center" vertical="center" wrapText="1"/>
    </xf>
    <xf numFmtId="166" fontId="6" fillId="0" borderId="3" xfId="1" applyNumberFormat="1" applyFont="1" applyFill="1" applyBorder="1" applyAlignment="1">
      <alignment horizontal="center" vertical="center" wrapText="1"/>
    </xf>
    <xf numFmtId="166" fontId="6" fillId="0" borderId="6" xfId="1" applyNumberFormat="1" applyFont="1" applyFill="1" applyBorder="1" applyAlignment="1">
      <alignment horizontal="center" vertical="center"/>
    </xf>
    <xf numFmtId="166" fontId="1" fillId="0" borderId="3" xfId="1" applyNumberFormat="1" applyFont="1" applyFill="1" applyBorder="1" applyAlignment="1">
      <alignment horizontal="center" vertical="center"/>
    </xf>
    <xf numFmtId="0" fontId="0" fillId="7" borderId="6" xfId="0" applyFill="1" applyBorder="1" applyAlignment="1">
      <alignment horizontal="center" vertical="center" wrapText="1"/>
    </xf>
    <xf numFmtId="0" fontId="39" fillId="18" borderId="53" xfId="0" applyFont="1" applyFill="1" applyBorder="1" applyAlignment="1">
      <alignment horizontal="center" vertical="center"/>
    </xf>
    <xf numFmtId="0" fontId="39" fillId="18" borderId="39" xfId="0" applyFont="1" applyFill="1" applyBorder="1" applyAlignment="1">
      <alignment horizontal="center" vertical="center" wrapText="1"/>
    </xf>
    <xf numFmtId="0" fontId="39" fillId="18" borderId="46" xfId="0" applyFont="1" applyFill="1" applyBorder="1" applyAlignment="1">
      <alignment horizontal="center" vertical="center"/>
    </xf>
    <xf numFmtId="9" fontId="6" fillId="9" borderId="47" xfId="5" applyNumberFormat="1" applyFont="1" applyFill="1" applyBorder="1" applyAlignment="1">
      <alignment horizontal="center" vertical="center" wrapText="1"/>
    </xf>
    <xf numFmtId="0" fontId="0" fillId="9" borderId="56" xfId="0" applyFill="1" applyBorder="1" applyAlignment="1">
      <alignment horizontal="left" wrapText="1"/>
    </xf>
    <xf numFmtId="0" fontId="39" fillId="18" borderId="48" xfId="0" applyFont="1" applyFill="1" applyBorder="1" applyAlignment="1">
      <alignment horizontal="center" vertical="center"/>
    </xf>
    <xf numFmtId="9" fontId="6" fillId="9" borderId="49" xfId="5" applyNumberFormat="1" applyFont="1" applyFill="1" applyBorder="1" applyAlignment="1">
      <alignment horizontal="center" vertical="center" wrapText="1"/>
    </xf>
    <xf numFmtId="0" fontId="0" fillId="9" borderId="57" xfId="0" applyFill="1" applyBorder="1" applyAlignment="1">
      <alignment horizontal="left"/>
    </xf>
    <xf numFmtId="0" fontId="39" fillId="18" borderId="50" xfId="0" applyFont="1" applyFill="1" applyBorder="1" applyAlignment="1">
      <alignment horizontal="center" vertical="center"/>
    </xf>
    <xf numFmtId="9" fontId="6" fillId="9" borderId="51" xfId="5" applyNumberFormat="1" applyFont="1" applyFill="1" applyBorder="1" applyAlignment="1">
      <alignment horizontal="center" vertical="center" wrapText="1"/>
    </xf>
    <xf numFmtId="0" fontId="0" fillId="9" borderId="58" xfId="0" applyFill="1" applyBorder="1" applyAlignment="1">
      <alignment horizontal="left" wrapText="1"/>
    </xf>
    <xf numFmtId="0" fontId="39" fillId="9" borderId="0" xfId="0" applyFont="1" applyFill="1" applyBorder="1" applyAlignment="1">
      <alignment horizontal="center" vertical="center"/>
    </xf>
    <xf numFmtId="9" fontId="6" fillId="9" borderId="0" xfId="5" applyNumberFormat="1" applyFont="1" applyFill="1" applyBorder="1" applyAlignment="1">
      <alignment horizontal="center" vertical="center" wrapText="1"/>
    </xf>
    <xf numFmtId="0" fontId="39" fillId="20" borderId="52" xfId="0" applyFont="1" applyFill="1" applyBorder="1" applyAlignment="1">
      <alignment horizontal="center" vertical="center"/>
    </xf>
    <xf numFmtId="0" fontId="0" fillId="9" borderId="0" xfId="0" applyFill="1" applyBorder="1" applyAlignment="1">
      <alignment horizontal="center"/>
    </xf>
    <xf numFmtId="0" fontId="0" fillId="9" borderId="0" xfId="0" applyFill="1" applyBorder="1" applyAlignment="1">
      <alignment wrapText="1"/>
    </xf>
    <xf numFmtId="0" fontId="24" fillId="9" borderId="0" xfId="0" applyFont="1" applyFill="1" applyBorder="1" applyAlignment="1">
      <alignment vertical="center" wrapText="1"/>
    </xf>
    <xf numFmtId="10" fontId="17" fillId="9" borderId="44" xfId="0" applyNumberFormat="1" applyFont="1" applyFill="1" applyBorder="1" applyAlignment="1">
      <alignment horizontal="center" vertical="center" wrapText="1"/>
    </xf>
    <xf numFmtId="10" fontId="43" fillId="9" borderId="34" xfId="0" applyNumberFormat="1" applyFont="1" applyFill="1" applyBorder="1" applyAlignment="1">
      <alignment horizontal="center" wrapText="1"/>
    </xf>
    <xf numFmtId="10" fontId="17" fillId="9" borderId="59" xfId="0" applyNumberFormat="1" applyFont="1" applyFill="1" applyBorder="1" applyAlignment="1">
      <alignment horizontal="center" vertical="center" wrapText="1"/>
    </xf>
    <xf numFmtId="0" fontId="0" fillId="9" borderId="61" xfId="0" applyFill="1" applyBorder="1" applyAlignment="1">
      <alignment horizontal="left" vertical="center" wrapText="1"/>
    </xf>
    <xf numFmtId="0" fontId="0" fillId="9" borderId="61" xfId="0" applyFill="1" applyBorder="1" applyAlignment="1">
      <alignment horizontal="center" vertical="center" wrapText="1"/>
    </xf>
    <xf numFmtId="0" fontId="0" fillId="9" borderId="61" xfId="0" applyFill="1" applyBorder="1" applyAlignment="1">
      <alignment horizontal="center" vertical="center"/>
    </xf>
    <xf numFmtId="49" fontId="0" fillId="9" borderId="61" xfId="0" applyNumberFormat="1" applyFill="1" applyBorder="1" applyAlignment="1">
      <alignment horizontal="center" vertical="center" wrapText="1"/>
    </xf>
    <xf numFmtId="0" fontId="17" fillId="9" borderId="61" xfId="0" applyFont="1" applyFill="1" applyBorder="1" applyAlignment="1">
      <alignment horizontal="left" vertical="center" wrapText="1"/>
    </xf>
    <xf numFmtId="0" fontId="0" fillId="9" borderId="62" xfId="0" applyFill="1" applyBorder="1" applyAlignment="1">
      <alignment horizontal="center" vertical="center" wrapText="1"/>
    </xf>
    <xf numFmtId="0" fontId="0" fillId="9" borderId="63" xfId="0" applyFill="1" applyBorder="1" applyAlignment="1">
      <alignment horizontal="center" vertical="center" wrapText="1"/>
    </xf>
    <xf numFmtId="0" fontId="0" fillId="9" borderId="63" xfId="0" applyFill="1" applyBorder="1" applyAlignment="1">
      <alignment horizontal="center" vertical="center"/>
    </xf>
    <xf numFmtId="10" fontId="0" fillId="9" borderId="64" xfId="5" applyNumberFormat="1" applyFont="1" applyFill="1" applyBorder="1" applyAlignment="1">
      <alignment horizontal="center" vertical="center" wrapText="1"/>
    </xf>
    <xf numFmtId="10" fontId="0" fillId="9" borderId="65" xfId="5" applyNumberFormat="1" applyFont="1" applyFill="1" applyBorder="1" applyAlignment="1">
      <alignment horizontal="center" vertical="center"/>
    </xf>
    <xf numFmtId="0" fontId="39" fillId="18" borderId="29" xfId="0" applyFont="1" applyFill="1" applyBorder="1" applyAlignment="1">
      <alignment horizontal="center" vertical="center" wrapText="1"/>
    </xf>
    <xf numFmtId="0" fontId="0" fillId="9" borderId="67" xfId="0" applyFill="1" applyBorder="1" applyAlignment="1">
      <alignment horizontal="center" vertical="center" wrapText="1"/>
    </xf>
    <xf numFmtId="0" fontId="0" fillId="9" borderId="68" xfId="0" applyFill="1" applyBorder="1" applyAlignment="1">
      <alignment horizontal="center" vertical="center" wrapText="1"/>
    </xf>
    <xf numFmtId="0" fontId="0" fillId="9" borderId="67" xfId="0" applyFill="1" applyBorder="1" applyAlignment="1">
      <alignment horizontal="left" vertical="center" wrapText="1"/>
    </xf>
    <xf numFmtId="0" fontId="0" fillId="9" borderId="67" xfId="0" applyFill="1" applyBorder="1" applyAlignment="1">
      <alignment horizontal="center" vertical="center"/>
    </xf>
    <xf numFmtId="0" fontId="0" fillId="9" borderId="68" xfId="0" applyFill="1" applyBorder="1" applyAlignment="1">
      <alignment horizontal="left" vertical="center" wrapText="1"/>
    </xf>
    <xf numFmtId="0" fontId="0" fillId="9" borderId="68" xfId="0" applyFill="1" applyBorder="1" applyAlignment="1">
      <alignment horizontal="center" vertical="center"/>
    </xf>
    <xf numFmtId="0" fontId="0" fillId="9" borderId="70" xfId="0" applyFill="1" applyBorder="1" applyAlignment="1">
      <alignment horizontal="center" vertical="center" wrapText="1"/>
    </xf>
    <xf numFmtId="49" fontId="0" fillId="9" borderId="67" xfId="0" applyNumberFormat="1" applyFill="1" applyBorder="1" applyAlignment="1">
      <alignment horizontal="center" vertical="center" wrapText="1"/>
    </xf>
    <xf numFmtId="10" fontId="0" fillId="9" borderId="71" xfId="5" applyNumberFormat="1" applyFont="1" applyFill="1" applyBorder="1" applyAlignment="1">
      <alignment horizontal="center" vertical="center" wrapText="1"/>
    </xf>
    <xf numFmtId="10" fontId="0" fillId="9" borderId="73" xfId="5" applyNumberFormat="1" applyFont="1" applyFill="1" applyBorder="1" applyAlignment="1">
      <alignment horizontal="center" vertical="center" wrapText="1"/>
    </xf>
    <xf numFmtId="10" fontId="18" fillId="9" borderId="73" xfId="5" applyNumberFormat="1" applyFont="1" applyFill="1" applyBorder="1" applyAlignment="1">
      <alignment horizontal="center" vertical="center" wrapText="1"/>
    </xf>
    <xf numFmtId="49" fontId="0" fillId="9" borderId="68" xfId="0" applyNumberFormat="1" applyFill="1" applyBorder="1" applyAlignment="1">
      <alignment horizontal="center" vertical="center" wrapText="1"/>
    </xf>
    <xf numFmtId="10" fontId="0" fillId="9" borderId="75" xfId="5" applyNumberFormat="1" applyFont="1" applyFill="1" applyBorder="1" applyAlignment="1">
      <alignment horizontal="center" vertical="center" wrapText="1"/>
    </xf>
    <xf numFmtId="10" fontId="0" fillId="9" borderId="76" xfId="5" applyNumberFormat="1" applyFont="1" applyFill="1" applyBorder="1" applyAlignment="1">
      <alignment horizontal="center" vertical="center"/>
    </xf>
    <xf numFmtId="0" fontId="0" fillId="9" borderId="66" xfId="0" applyFill="1" applyBorder="1" applyAlignment="1">
      <alignment horizontal="left" vertical="center" wrapText="1"/>
    </xf>
    <xf numFmtId="0" fontId="39" fillId="18" borderId="77" xfId="0" applyFont="1" applyFill="1" applyBorder="1" applyAlignment="1">
      <alignment horizontal="center" vertical="center" wrapText="1"/>
    </xf>
    <xf numFmtId="49" fontId="17" fillId="9" borderId="0" xfId="0" applyNumberFormat="1" applyFont="1" applyFill="1" applyBorder="1" applyAlignment="1">
      <alignment horizontal="center" vertical="center"/>
    </xf>
    <xf numFmtId="0" fontId="17" fillId="9" borderId="0" xfId="0" applyFont="1" applyFill="1" applyBorder="1" applyAlignment="1">
      <alignment horizontal="center" vertical="center"/>
    </xf>
    <xf numFmtId="0" fontId="39" fillId="18" borderId="79" xfId="0" applyFont="1" applyFill="1" applyBorder="1" applyAlignment="1">
      <alignment horizontal="center" vertical="center" wrapText="1"/>
    </xf>
    <xf numFmtId="10" fontId="0" fillId="9" borderId="78" xfId="5" applyNumberFormat="1" applyFont="1" applyFill="1" applyBorder="1" applyAlignment="1">
      <alignment horizontal="center" vertical="center"/>
    </xf>
    <xf numFmtId="41" fontId="0" fillId="9" borderId="78" xfId="2" applyFont="1" applyFill="1" applyBorder="1" applyAlignment="1">
      <alignment horizontal="center" vertical="center"/>
    </xf>
    <xf numFmtId="0" fontId="0" fillId="9" borderId="80" xfId="0" applyFill="1" applyBorder="1" applyAlignment="1">
      <alignment horizontal="left" vertical="center" wrapText="1"/>
    </xf>
    <xf numFmtId="41" fontId="0" fillId="9" borderId="81" xfId="2" applyFont="1" applyFill="1" applyBorder="1" applyAlignment="1">
      <alignment horizontal="center" vertical="center"/>
    </xf>
    <xf numFmtId="0" fontId="0" fillId="9" borderId="63" xfId="0" applyFill="1" applyBorder="1" applyAlignment="1">
      <alignment horizontal="left" vertical="center" wrapText="1"/>
    </xf>
    <xf numFmtId="0" fontId="0" fillId="0" borderId="0" xfId="0" applyBorder="1" applyAlignment="1">
      <alignment horizontal="center" vertical="center"/>
    </xf>
    <xf numFmtId="0" fontId="0" fillId="0" borderId="0" xfId="0" applyBorder="1"/>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9" borderId="69" xfId="0" applyFill="1" applyBorder="1" applyAlignment="1">
      <alignment horizontal="center" vertical="center" wrapText="1"/>
    </xf>
    <xf numFmtId="0" fontId="0" fillId="9" borderId="82" xfId="0" applyFill="1" applyBorder="1" applyAlignment="1">
      <alignment horizontal="center" vertical="center" wrapText="1"/>
    </xf>
    <xf numFmtId="0" fontId="0" fillId="9" borderId="83" xfId="0" applyFill="1" applyBorder="1" applyAlignment="1">
      <alignment horizontal="center" vertical="center" wrapText="1"/>
    </xf>
    <xf numFmtId="0" fontId="0" fillId="9" borderId="84" xfId="0"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center" wrapText="1"/>
    </xf>
    <xf numFmtId="41" fontId="44" fillId="0" borderId="1" xfId="2" applyFont="1" applyBorder="1" applyAlignment="1">
      <alignment horizontal="center" vertical="center"/>
    </xf>
    <xf numFmtId="0" fontId="44" fillId="0" borderId="1" xfId="0" applyFont="1" applyBorder="1" applyAlignment="1">
      <alignment horizontal="center" vertical="center"/>
    </xf>
    <xf numFmtId="10" fontId="44" fillId="0" borderId="1" xfId="0" applyNumberFormat="1" applyFont="1" applyBorder="1" applyAlignment="1">
      <alignment horizontal="center" vertical="center"/>
    </xf>
    <xf numFmtId="0" fontId="45" fillId="21" borderId="1" xfId="0" applyFont="1" applyFill="1" applyBorder="1" applyAlignment="1">
      <alignment horizontal="center" vertical="center"/>
    </xf>
    <xf numFmtId="167" fontId="44" fillId="0" borderId="1" xfId="2" applyNumberFormat="1" applyFont="1" applyBorder="1" applyAlignment="1">
      <alignment vertical="center"/>
    </xf>
    <xf numFmtId="167" fontId="44" fillId="0" borderId="1" xfId="2" applyNumberFormat="1" applyFont="1" applyBorder="1" applyAlignment="1">
      <alignment horizontal="center" vertical="center"/>
    </xf>
    <xf numFmtId="10" fontId="18" fillId="0" borderId="10" xfId="5" applyNumberFormat="1" applyFont="1" applyFill="1" applyBorder="1" applyAlignment="1">
      <alignment horizontal="center" vertical="center"/>
    </xf>
    <xf numFmtId="3" fontId="0" fillId="0" borderId="0" xfId="0" applyNumberFormat="1"/>
    <xf numFmtId="166" fontId="0" fillId="0" borderId="0" xfId="0" applyNumberFormat="1" applyFont="1" applyFill="1" applyBorder="1"/>
    <xf numFmtId="168" fontId="0" fillId="0" borderId="0" xfId="0" applyNumberFormat="1"/>
    <xf numFmtId="43" fontId="0" fillId="0" borderId="0" xfId="0" applyNumberFormat="1"/>
    <xf numFmtId="166" fontId="6" fillId="0" borderId="1" xfId="0" applyNumberFormat="1" applyFont="1" applyFill="1" applyBorder="1" applyAlignment="1">
      <alignment horizontal="center" vertical="center" wrapText="1"/>
    </xf>
    <xf numFmtId="0" fontId="0" fillId="15" borderId="0" xfId="0" applyFill="1" applyAlignment="1">
      <alignment vertical="center" wrapText="1"/>
    </xf>
    <xf numFmtId="0" fontId="0" fillId="19" borderId="0" xfId="0" applyFill="1" applyAlignment="1">
      <alignment vertical="center" wrapText="1"/>
    </xf>
    <xf numFmtId="0" fontId="0" fillId="19" borderId="0" xfId="0" applyFill="1" applyAlignment="1">
      <alignment horizontal="center" vertical="center" wrapText="1"/>
    </xf>
    <xf numFmtId="0" fontId="0" fillId="15" borderId="0" xfId="0" applyFill="1" applyAlignment="1">
      <alignment horizontal="center" vertical="center" wrapText="1"/>
    </xf>
    <xf numFmtId="10" fontId="6" fillId="12" borderId="6" xfId="5" applyNumberFormat="1" applyFont="1" applyFill="1" applyBorder="1" applyAlignment="1">
      <alignment horizontal="right" vertical="center" wrapText="1"/>
    </xf>
    <xf numFmtId="166" fontId="6" fillId="0" borderId="1" xfId="0" applyNumberFormat="1" applyFont="1" applyFill="1" applyBorder="1" applyAlignment="1">
      <alignment horizontal="center" vertical="center"/>
    </xf>
    <xf numFmtId="0" fontId="6" fillId="0" borderId="0" xfId="0" applyFont="1" applyAlignment="1">
      <alignment horizontal="center" vertical="center" wrapText="1"/>
    </xf>
    <xf numFmtId="0" fontId="6" fillId="19" borderId="0" xfId="0" applyFont="1" applyFill="1" applyAlignment="1">
      <alignment horizontal="center" vertical="center" wrapText="1"/>
    </xf>
    <xf numFmtId="0" fontId="0" fillId="0" borderId="7" xfId="0" applyBorder="1" applyAlignment="1">
      <alignment horizontal="left" vertical="center" wrapText="1"/>
    </xf>
    <xf numFmtId="0" fontId="0" fillId="0" borderId="3" xfId="0" applyFont="1" applyFill="1" applyBorder="1" applyAlignment="1">
      <alignment horizontal="left" vertical="center" wrapText="1"/>
    </xf>
    <xf numFmtId="10" fontId="6" fillId="22" borderId="1" xfId="5" applyNumberFormat="1" applyFont="1" applyFill="1" applyBorder="1" applyAlignment="1">
      <alignment horizontal="right" vertical="center" wrapText="1"/>
    </xf>
    <xf numFmtId="41" fontId="0" fillId="0" borderId="0" xfId="0" applyNumberFormat="1" applyFont="1" applyFill="1" applyBorder="1"/>
    <xf numFmtId="0" fontId="24" fillId="16" borderId="6" xfId="0" applyFont="1" applyFill="1" applyBorder="1" applyAlignment="1">
      <alignment horizontal="center" vertical="center" wrapText="1"/>
    </xf>
    <xf numFmtId="10" fontId="6" fillId="22" borderId="1" xfId="0" applyNumberFormat="1" applyFont="1" applyFill="1" applyBorder="1" applyAlignment="1">
      <alignment horizontal="right" vertical="center" wrapText="1"/>
    </xf>
    <xf numFmtId="0" fontId="18" fillId="0" borderId="0" xfId="0" applyFont="1" applyAlignment="1">
      <alignment horizontal="center" vertical="center" wrapText="1"/>
    </xf>
    <xf numFmtId="0" fontId="0" fillId="7" borderId="8" xfId="0" applyFill="1" applyBorder="1" applyAlignment="1">
      <alignment horizontal="center" vertical="center" wrapText="1"/>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10" fillId="23" borderId="28" xfId="0" applyFont="1" applyFill="1" applyBorder="1" applyAlignment="1">
      <alignment horizontal="center" vertical="center" wrapText="1"/>
    </xf>
    <xf numFmtId="0" fontId="10" fillId="23" borderId="29" xfId="0" applyFont="1" applyFill="1" applyBorder="1" applyAlignment="1">
      <alignment horizontal="center" vertical="center" wrapText="1"/>
    </xf>
    <xf numFmtId="0" fontId="10" fillId="23" borderId="77" xfId="0" applyFont="1" applyFill="1" applyBorder="1" applyAlignment="1">
      <alignment horizontal="center" vertical="center" wrapText="1"/>
    </xf>
    <xf numFmtId="0" fontId="10" fillId="23" borderId="30" xfId="0" applyFont="1" applyFill="1" applyBorder="1" applyAlignment="1">
      <alignment horizontal="center" vertical="center" wrapText="1"/>
    </xf>
    <xf numFmtId="0" fontId="0" fillId="0" borderId="0" xfId="0" applyFont="1" applyAlignment="1">
      <alignment wrapText="1"/>
    </xf>
    <xf numFmtId="0" fontId="0" fillId="0" borderId="25"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xf>
    <xf numFmtId="164" fontId="6" fillId="0" borderId="14" xfId="5" applyNumberFormat="1" applyFont="1" applyFill="1" applyBorder="1" applyAlignment="1">
      <alignment horizontal="center" vertical="center" wrapText="1"/>
    </xf>
    <xf numFmtId="164" fontId="6" fillId="0" borderId="11" xfId="5" applyNumberFormat="1" applyFont="1" applyFill="1" applyBorder="1" applyAlignment="1">
      <alignment horizontal="center" vertical="center" wrapText="1"/>
    </xf>
    <xf numFmtId="0" fontId="0" fillId="0" borderId="4"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 xfId="0" applyFont="1" applyFill="1" applyBorder="1" applyAlignment="1">
      <alignment horizontal="center" vertical="center" wrapText="1"/>
    </xf>
    <xf numFmtId="41" fontId="7" fillId="0" borderId="1" xfId="2" applyFont="1" applyBorder="1" applyAlignment="1">
      <alignment horizontal="center" vertical="center"/>
    </xf>
    <xf numFmtId="41" fontId="7" fillId="5" borderId="1" xfId="2"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1" xfId="0" applyFont="1" applyFill="1" applyBorder="1" applyAlignment="1">
      <alignment horizontal="left" vertical="center" wrapText="1"/>
    </xf>
    <xf numFmtId="41" fontId="1" fillId="0" borderId="1" xfId="2" applyFont="1" applyBorder="1" applyAlignment="1">
      <alignment horizontal="center" vertical="center"/>
    </xf>
    <xf numFmtId="41" fontId="1" fillId="5" borderId="1" xfId="2" applyFont="1" applyFill="1" applyBorder="1" applyAlignment="1">
      <alignment horizontal="center" vertical="center"/>
    </xf>
    <xf numFmtId="10" fontId="1" fillId="0" borderId="1" xfId="5" applyNumberFormat="1" applyFont="1" applyBorder="1" applyAlignment="1">
      <alignment horizontal="center" vertical="center"/>
    </xf>
    <xf numFmtId="10" fontId="1" fillId="5" borderId="1" xfId="5" applyNumberFormat="1" applyFont="1" applyFill="1" applyBorder="1" applyAlignment="1">
      <alignment horizontal="center" vertical="center"/>
    </xf>
    <xf numFmtId="41" fontId="1" fillId="0" borderId="1" xfId="2" applyNumberFormat="1" applyFont="1" applyBorder="1" applyAlignment="1">
      <alignment horizontal="center" vertical="center"/>
    </xf>
    <xf numFmtId="41" fontId="1" fillId="5" borderId="1" xfId="2" applyNumberFormat="1" applyFont="1" applyFill="1" applyBorder="1" applyAlignment="1">
      <alignment horizontal="center" vertical="center"/>
    </xf>
    <xf numFmtId="164" fontId="46" fillId="0" borderId="1" xfId="5" applyNumberFormat="1" applyFont="1" applyFill="1" applyBorder="1" applyAlignment="1">
      <alignment horizontal="center" vertical="center" wrapText="1"/>
    </xf>
    <xf numFmtId="10" fontId="46" fillId="5" borderId="1" xfId="5" applyNumberFormat="1" applyFont="1" applyFill="1" applyBorder="1" applyAlignment="1">
      <alignment horizontal="center" vertical="center" wrapText="1"/>
    </xf>
    <xf numFmtId="10" fontId="7" fillId="0" borderId="1" xfId="5" applyNumberFormat="1" applyFont="1" applyBorder="1" applyAlignment="1">
      <alignment horizontal="center" vertical="center"/>
    </xf>
    <xf numFmtId="10" fontId="7" fillId="5" borderId="1" xfId="5" applyNumberFormat="1" applyFont="1" applyFill="1" applyBorder="1" applyAlignment="1">
      <alignment horizontal="center" vertical="center"/>
    </xf>
    <xf numFmtId="10" fontId="1" fillId="0" borderId="1" xfId="5" applyNumberFormat="1" applyFont="1" applyBorder="1" applyAlignment="1">
      <alignment horizontal="center" vertical="center" wrapText="1"/>
    </xf>
    <xf numFmtId="10" fontId="1" fillId="5" borderId="1" xfId="5"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10" fontId="1" fillId="0" borderId="10" xfId="5" applyNumberFormat="1" applyFont="1" applyBorder="1" applyAlignment="1">
      <alignment horizontal="center" vertical="center"/>
    </xf>
    <xf numFmtId="10" fontId="1" fillId="5" borderId="10" xfId="5" applyNumberFormat="1" applyFont="1" applyFill="1" applyBorder="1" applyAlignment="1">
      <alignment horizontal="center" vertical="center"/>
    </xf>
    <xf numFmtId="164" fontId="6" fillId="0" borderId="10" xfId="5" applyNumberFormat="1" applyFont="1" applyFill="1" applyBorder="1" applyAlignment="1">
      <alignment horizontal="center" vertical="center" wrapText="1"/>
    </xf>
    <xf numFmtId="10" fontId="6" fillId="5" borderId="10" xfId="5"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10" fontId="1" fillId="0" borderId="14" xfId="5" applyNumberFormat="1" applyFont="1" applyBorder="1" applyAlignment="1">
      <alignment horizontal="center" vertical="center"/>
    </xf>
    <xf numFmtId="10" fontId="1" fillId="5" borderId="14" xfId="5" applyNumberFormat="1" applyFont="1" applyFill="1" applyBorder="1" applyAlignment="1">
      <alignment horizontal="center" vertical="center"/>
    </xf>
    <xf numFmtId="164" fontId="46" fillId="0" borderId="5" xfId="5" applyNumberFormat="1" applyFont="1" applyFill="1" applyBorder="1" applyAlignment="1">
      <alignment horizontal="center" vertical="center" wrapText="1"/>
    </xf>
    <xf numFmtId="164" fontId="46" fillId="0" borderId="7" xfId="5" applyNumberFormat="1" applyFont="1" applyFill="1" applyBorder="1" applyAlignment="1">
      <alignment horizontal="center" vertical="center" wrapText="1"/>
    </xf>
    <xf numFmtId="10" fontId="6" fillId="5" borderId="11" xfId="5" applyNumberFormat="1" applyFont="1" applyFill="1" applyBorder="1" applyAlignment="1">
      <alignment horizontal="center" vertical="center" wrapText="1"/>
    </xf>
    <xf numFmtId="164" fontId="46" fillId="0" borderId="9" xfId="5" applyNumberFormat="1" applyFont="1" applyFill="1" applyBorder="1" applyAlignment="1">
      <alignment horizontal="center" vertical="center" wrapText="1"/>
    </xf>
    <xf numFmtId="164" fontId="46" fillId="0" borderId="24" xfId="5" applyNumberFormat="1" applyFont="1" applyFill="1" applyBorder="1" applyAlignment="1">
      <alignment horizontal="center" vertical="center" wrapText="1"/>
    </xf>
    <xf numFmtId="41" fontId="1" fillId="0" borderId="11" xfId="2" applyFont="1" applyBorder="1" applyAlignment="1">
      <alignment horizontal="center" vertical="center"/>
    </xf>
    <xf numFmtId="41" fontId="1" fillId="5" borderId="11" xfId="2" applyFont="1" applyFill="1" applyBorder="1" applyAlignment="1">
      <alignment horizontal="center" vertical="center"/>
    </xf>
    <xf numFmtId="10" fontId="1" fillId="0" borderId="0" xfId="5" applyNumberFormat="1" applyFont="1" applyFill="1" applyBorder="1" applyAlignment="1">
      <alignment horizontal="center" vertical="center"/>
    </xf>
    <xf numFmtId="41" fontId="1" fillId="0" borderId="0" xfId="2" applyFont="1" applyFill="1" applyBorder="1" applyAlignment="1">
      <alignment horizontal="center" vertical="center"/>
    </xf>
    <xf numFmtId="10" fontId="1" fillId="0" borderId="0" xfId="5" applyNumberFormat="1" applyFont="1" applyFill="1" applyBorder="1" applyAlignment="1">
      <alignment horizontal="center" vertical="center" wrapText="1"/>
    </xf>
    <xf numFmtId="41" fontId="7" fillId="0" borderId="0" xfId="2" applyFont="1" applyFill="1" applyBorder="1" applyAlignment="1">
      <alignment horizontal="center" vertical="center"/>
    </xf>
    <xf numFmtId="10" fontId="7" fillId="0" borderId="0" xfId="5" applyNumberFormat="1" applyFont="1" applyFill="1" applyBorder="1" applyAlignment="1">
      <alignment horizontal="center" vertical="center"/>
    </xf>
    <xf numFmtId="10" fontId="1" fillId="0" borderId="5" xfId="5" applyNumberFormat="1" applyFont="1" applyBorder="1" applyAlignment="1">
      <alignment horizontal="center" vertical="center"/>
    </xf>
    <xf numFmtId="10" fontId="1" fillId="0" borderId="7" xfId="5" applyNumberFormat="1" applyFont="1" applyBorder="1" applyAlignment="1">
      <alignment horizontal="center" vertical="center"/>
    </xf>
    <xf numFmtId="41" fontId="1" fillId="0" borderId="7" xfId="2" applyFont="1" applyBorder="1" applyAlignment="1">
      <alignment horizontal="center" vertical="center"/>
    </xf>
    <xf numFmtId="10" fontId="1" fillId="0" borderId="7" xfId="5" applyNumberFormat="1" applyFont="1" applyBorder="1" applyAlignment="1">
      <alignment horizontal="center" vertical="center" wrapText="1"/>
    </xf>
    <xf numFmtId="41" fontId="7" fillId="0" borderId="7" xfId="2" applyFont="1" applyBorder="1" applyAlignment="1">
      <alignment horizontal="center" vertical="center"/>
    </xf>
    <xf numFmtId="10" fontId="7" fillId="0" borderId="7" xfId="5" applyNumberFormat="1" applyFont="1" applyBorder="1" applyAlignment="1">
      <alignment horizontal="center" vertical="center"/>
    </xf>
    <xf numFmtId="41" fontId="1" fillId="0" borderId="9" xfId="2" applyFont="1" applyBorder="1" applyAlignment="1">
      <alignment horizontal="center" vertical="center"/>
    </xf>
    <xf numFmtId="10" fontId="1" fillId="0" borderId="24" xfId="5" applyNumberFormat="1" applyFont="1" applyBorder="1" applyAlignment="1">
      <alignment horizontal="center" vertical="center"/>
    </xf>
    <xf numFmtId="10" fontId="1" fillId="0" borderId="4" xfId="5" applyNumberFormat="1" applyFont="1" applyBorder="1" applyAlignment="1">
      <alignment horizontal="center" vertical="center"/>
    </xf>
    <xf numFmtId="10" fontId="1" fillId="0" borderId="6" xfId="5" applyNumberFormat="1" applyFont="1" applyBorder="1" applyAlignment="1">
      <alignment horizontal="center" vertical="center"/>
    </xf>
    <xf numFmtId="41" fontId="1" fillId="0" borderId="6" xfId="2" applyNumberFormat="1" applyFont="1" applyBorder="1" applyAlignment="1">
      <alignment horizontal="center" vertical="center"/>
    </xf>
    <xf numFmtId="10" fontId="1" fillId="0" borderId="6" xfId="5" applyNumberFormat="1" applyFont="1" applyBorder="1" applyAlignment="1">
      <alignment horizontal="center" vertical="center" wrapText="1"/>
    </xf>
    <xf numFmtId="41" fontId="7" fillId="0" borderId="6" xfId="2" applyFont="1" applyBorder="1" applyAlignment="1">
      <alignment horizontal="center" vertical="center"/>
    </xf>
    <xf numFmtId="10" fontId="7" fillId="0" borderId="6" xfId="5" applyNumberFormat="1" applyFont="1" applyBorder="1" applyAlignment="1">
      <alignment horizontal="center" vertical="center"/>
    </xf>
    <xf numFmtId="41" fontId="1" fillId="0" borderId="8" xfId="2" applyFont="1" applyBorder="1" applyAlignment="1">
      <alignment horizontal="center" vertical="center"/>
    </xf>
    <xf numFmtId="10" fontId="1" fillId="0" borderId="23" xfId="5" applyNumberFormat="1" applyFont="1" applyBorder="1" applyAlignment="1">
      <alignment horizontal="center" vertical="center"/>
    </xf>
    <xf numFmtId="41" fontId="1" fillId="0" borderId="6" xfId="2" applyFont="1" applyBorder="1" applyAlignment="1">
      <alignment horizontal="center" vertical="center"/>
    </xf>
    <xf numFmtId="0" fontId="0" fillId="0" borderId="13" xfId="0" applyFont="1" applyFill="1" applyBorder="1" applyAlignment="1">
      <alignment horizontal="center" vertical="center" wrapText="1"/>
    </xf>
    <xf numFmtId="0" fontId="0" fillId="0" borderId="21" xfId="0" applyFont="1" applyBorder="1" applyAlignment="1">
      <alignment horizontal="center" vertical="center" wrapText="1"/>
    </xf>
    <xf numFmtId="0" fontId="10" fillId="0" borderId="38" xfId="0" applyFont="1" applyFill="1" applyBorder="1" applyAlignment="1">
      <alignment horizontal="center" vertical="center" wrapText="1"/>
    </xf>
    <xf numFmtId="41" fontId="1" fillId="0" borderId="45" xfId="2" applyFont="1" applyFill="1" applyBorder="1" applyAlignment="1">
      <alignment horizontal="center" vertical="center"/>
    </xf>
    <xf numFmtId="0" fontId="0" fillId="0" borderId="0" xfId="0" applyAlignment="1">
      <alignment vertical="center" wrapText="1"/>
    </xf>
    <xf numFmtId="10" fontId="18" fillId="0" borderId="1" xfId="0" applyNumberFormat="1" applyFont="1" applyFill="1" applyBorder="1" applyAlignment="1">
      <alignment horizontal="right" vertical="center" wrapText="1"/>
    </xf>
    <xf numFmtId="0" fontId="39" fillId="18" borderId="31" xfId="0" applyFont="1" applyFill="1" applyBorder="1" applyAlignment="1">
      <alignment horizontal="center" vertical="center" wrapText="1"/>
    </xf>
    <xf numFmtId="0" fontId="39" fillId="18" borderId="85" xfId="0" applyFont="1" applyFill="1" applyBorder="1" applyAlignment="1">
      <alignment horizontal="center" vertical="center" wrapText="1"/>
    </xf>
    <xf numFmtId="0" fontId="39" fillId="18" borderId="89" xfId="0" applyFont="1" applyFill="1" applyBorder="1" applyAlignment="1">
      <alignment horizontal="center" vertical="center" wrapText="1"/>
    </xf>
    <xf numFmtId="0" fontId="39" fillId="18" borderId="32" xfId="0" applyFont="1" applyFill="1" applyBorder="1" applyAlignment="1">
      <alignment horizontal="center" vertical="center" wrapText="1"/>
    </xf>
    <xf numFmtId="0" fontId="39" fillId="18" borderId="88" xfId="0" applyFont="1" applyFill="1" applyBorder="1" applyAlignment="1">
      <alignment horizontal="center" vertical="center" wrapText="1"/>
    </xf>
    <xf numFmtId="0" fontId="39" fillId="18" borderId="33" xfId="0" applyFont="1" applyFill="1" applyBorder="1" applyAlignment="1">
      <alignment horizontal="center" vertical="center" wrapText="1"/>
    </xf>
    <xf numFmtId="0" fontId="0" fillId="9" borderId="90" xfId="0" applyFill="1" applyBorder="1" applyAlignment="1">
      <alignment horizontal="left" vertical="center" wrapText="1"/>
    </xf>
    <xf numFmtId="0" fontId="0" fillId="9" borderId="90" xfId="0" applyFill="1" applyBorder="1" applyAlignment="1">
      <alignment horizontal="center" vertical="center"/>
    </xf>
    <xf numFmtId="10" fontId="0" fillId="9" borderId="90" xfId="5" applyNumberFormat="1" applyFont="1" applyFill="1" applyBorder="1" applyAlignment="1">
      <alignment horizontal="center" vertical="center"/>
    </xf>
    <xf numFmtId="10" fontId="6" fillId="9" borderId="90" xfId="5" applyNumberFormat="1" applyFont="1" applyFill="1" applyBorder="1" applyAlignment="1">
      <alignment horizontal="center" vertical="center" wrapText="1"/>
    </xf>
    <xf numFmtId="0" fontId="6" fillId="9" borderId="90" xfId="5" applyNumberFormat="1" applyFont="1" applyFill="1" applyBorder="1" applyAlignment="1">
      <alignment horizontal="center" vertical="center" wrapText="1"/>
    </xf>
    <xf numFmtId="10" fontId="0" fillId="9" borderId="90" xfId="5" applyNumberFormat="1" applyFont="1" applyFill="1" applyBorder="1" applyAlignment="1">
      <alignment horizontal="center" vertical="center" wrapText="1"/>
    </xf>
    <xf numFmtId="41" fontId="0" fillId="9" borderId="90" xfId="2" applyNumberFormat="1" applyFont="1" applyFill="1" applyBorder="1" applyAlignment="1">
      <alignment horizontal="center" vertical="center"/>
    </xf>
    <xf numFmtId="41" fontId="0" fillId="9" borderId="90" xfId="2" applyFont="1" applyFill="1" applyBorder="1" applyAlignment="1">
      <alignment horizontal="center" vertical="center"/>
    </xf>
    <xf numFmtId="167" fontId="0" fillId="9" borderId="90" xfId="2" applyNumberFormat="1" applyFont="1" applyFill="1" applyBorder="1" applyAlignment="1">
      <alignment horizontal="center" vertical="center"/>
    </xf>
    <xf numFmtId="49" fontId="0" fillId="9" borderId="90" xfId="0" applyNumberFormat="1" applyFill="1" applyBorder="1" applyAlignment="1">
      <alignment horizontal="center" vertical="center" wrapText="1"/>
    </xf>
    <xf numFmtId="0" fontId="0" fillId="9" borderId="90" xfId="0" applyFont="1" applyFill="1" applyBorder="1" applyAlignment="1">
      <alignment horizontal="left" vertical="center" wrapText="1"/>
    </xf>
    <xf numFmtId="0" fontId="6" fillId="9" borderId="90" xfId="0" applyFont="1" applyFill="1" applyBorder="1" applyAlignment="1">
      <alignment horizontal="left" vertical="center" wrapText="1"/>
    </xf>
    <xf numFmtId="49" fontId="38" fillId="9" borderId="90" xfId="0" applyNumberFormat="1" applyFont="1" applyFill="1" applyBorder="1" applyAlignment="1">
      <alignment horizontal="center" vertical="center" wrapText="1"/>
    </xf>
    <xf numFmtId="0" fontId="17" fillId="9" borderId="90" xfId="0" applyFont="1" applyFill="1" applyBorder="1" applyAlignment="1">
      <alignment horizontal="left" vertical="center" wrapText="1"/>
    </xf>
    <xf numFmtId="41" fontId="0" fillId="9" borderId="90" xfId="2" applyFont="1" applyFill="1" applyBorder="1" applyAlignment="1">
      <alignment horizontal="center" vertical="center" wrapText="1"/>
    </xf>
    <xf numFmtId="167" fontId="0" fillId="9" borderId="90" xfId="2" applyNumberFormat="1" applyFont="1" applyFill="1" applyBorder="1" applyAlignment="1">
      <alignment horizontal="center" vertical="center" wrapText="1"/>
    </xf>
    <xf numFmtId="49" fontId="6" fillId="9" borderId="61" xfId="0" applyNumberFormat="1" applyFont="1" applyFill="1" applyBorder="1" applyAlignment="1">
      <alignment horizontal="center" vertical="center" wrapText="1"/>
    </xf>
    <xf numFmtId="9" fontId="0" fillId="0" borderId="0" xfId="5" applyFont="1"/>
    <xf numFmtId="10" fontId="6" fillId="0" borderId="14" xfId="5" applyNumberFormat="1" applyFont="1" applyFill="1" applyBorder="1" applyAlignment="1">
      <alignment horizontal="center" vertical="center" wrapText="1"/>
    </xf>
    <xf numFmtId="10" fontId="6" fillId="0" borderId="10" xfId="5" applyNumberFormat="1" applyFont="1" applyFill="1" applyBorder="1" applyAlignment="1">
      <alignment horizontal="right" vertical="center" wrapText="1"/>
    </xf>
    <xf numFmtId="165" fontId="6" fillId="0" borderId="6" xfId="0" applyNumberFormat="1" applyFont="1" applyFill="1" applyBorder="1" applyAlignment="1">
      <alignment horizontal="right" vertical="center" wrapText="1"/>
    </xf>
    <xf numFmtId="1" fontId="6" fillId="0" borderId="1" xfId="0" applyNumberFormat="1" applyFont="1" applyFill="1" applyBorder="1" applyAlignment="1">
      <alignment horizontal="center" vertical="center" wrapText="1"/>
    </xf>
    <xf numFmtId="166" fontId="6" fillId="0" borderId="6" xfId="1" applyNumberFormat="1" applyFont="1" applyFill="1" applyBorder="1" applyAlignment="1">
      <alignment horizontal="right" vertical="center" wrapText="1"/>
    </xf>
    <xf numFmtId="10" fontId="6" fillId="0" borderId="6" xfId="5" applyNumberFormat="1" applyFont="1" applyFill="1" applyBorder="1" applyAlignment="1">
      <alignment horizontal="center" vertical="center" wrapText="1"/>
    </xf>
    <xf numFmtId="10" fontId="6" fillId="0" borderId="3" xfId="1" applyNumberFormat="1" applyFont="1" applyFill="1" applyBorder="1" applyAlignment="1">
      <alignment horizontal="right" vertical="center" wrapText="1"/>
    </xf>
    <xf numFmtId="41" fontId="6" fillId="0" borderId="1" xfId="2" applyFont="1" applyFill="1" applyBorder="1" applyAlignment="1">
      <alignment horizontal="center" vertical="center" wrapText="1"/>
    </xf>
    <xf numFmtId="9" fontId="6" fillId="0" borderId="6" xfId="5" applyNumberFormat="1" applyFont="1" applyFill="1" applyBorder="1" applyAlignment="1">
      <alignment horizontal="right" vertical="center" wrapText="1"/>
    </xf>
    <xf numFmtId="9" fontId="6" fillId="0" borderId="1" xfId="5" applyNumberFormat="1" applyFont="1" applyFill="1" applyBorder="1" applyAlignment="1">
      <alignment horizontal="center" vertical="center"/>
    </xf>
    <xf numFmtId="9" fontId="6" fillId="0" borderId="1" xfId="5" applyNumberFormat="1" applyFont="1" applyFill="1" applyBorder="1" applyAlignment="1">
      <alignment horizontal="right" vertical="center" wrapText="1"/>
    </xf>
    <xf numFmtId="9" fontId="6" fillId="0" borderId="1" xfId="5" applyFont="1" applyFill="1" applyBorder="1" applyAlignment="1">
      <alignment horizontal="right" vertical="center" wrapText="1"/>
    </xf>
    <xf numFmtId="10" fontId="6" fillId="0" borderId="8" xfId="5" applyNumberFormat="1" applyFont="1" applyFill="1" applyBorder="1" applyAlignment="1">
      <alignment horizontal="right" vertical="center" wrapText="1"/>
    </xf>
    <xf numFmtId="10" fontId="6" fillId="0" borderId="11" xfId="5" applyNumberFormat="1" applyFont="1" applyFill="1" applyBorder="1" applyAlignment="1">
      <alignment horizontal="center" vertical="center"/>
    </xf>
    <xf numFmtId="10" fontId="6" fillId="0" borderId="11" xfId="5" applyNumberFormat="1" applyFont="1" applyFill="1" applyBorder="1" applyAlignment="1">
      <alignment horizontal="right" vertical="center"/>
    </xf>
    <xf numFmtId="9" fontId="6" fillId="0" borderId="6" xfId="5" applyNumberFormat="1" applyFont="1" applyFill="1" applyBorder="1" applyAlignment="1">
      <alignment horizontal="center" vertical="center" wrapText="1"/>
    </xf>
    <xf numFmtId="10" fontId="6" fillId="0" borderId="16"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10" fontId="6" fillId="0" borderId="3" xfId="0" applyNumberFormat="1" applyFont="1" applyFill="1" applyBorder="1" applyAlignment="1">
      <alignment horizontal="center" vertical="center"/>
    </xf>
    <xf numFmtId="166" fontId="6" fillId="0" borderId="3" xfId="1" applyNumberFormat="1" applyFont="1" applyFill="1" applyBorder="1" applyAlignment="1">
      <alignment horizontal="center" vertical="center"/>
    </xf>
    <xf numFmtId="166" fontId="6" fillId="0" borderId="3"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43" fontId="6" fillId="0" borderId="20" xfId="1" applyNumberFormat="1" applyFont="1" applyFill="1" applyBorder="1" applyAlignment="1">
      <alignment horizontal="right" vertical="center" wrapText="1"/>
    </xf>
    <xf numFmtId="10" fontId="6" fillId="0" borderId="20" xfId="3" applyNumberFormat="1" applyFont="1" applyFill="1" applyBorder="1" applyAlignment="1">
      <alignment horizontal="center" vertical="center" wrapText="1"/>
    </xf>
    <xf numFmtId="10" fontId="6" fillId="0" borderId="3" xfId="0" applyNumberFormat="1" applyFont="1" applyFill="1" applyBorder="1" applyAlignment="1">
      <alignment horizontal="center" vertical="center" wrapText="1"/>
    </xf>
    <xf numFmtId="9" fontId="6" fillId="0" borderId="3" xfId="0" applyNumberFormat="1" applyFont="1" applyFill="1" applyBorder="1" applyAlignment="1">
      <alignment vertical="center"/>
    </xf>
    <xf numFmtId="9" fontId="6" fillId="0" borderId="3" xfId="0" applyNumberFormat="1" applyFont="1" applyFill="1" applyBorder="1" applyAlignment="1">
      <alignment horizontal="center" vertical="center"/>
    </xf>
    <xf numFmtId="10" fontId="31" fillId="0" borderId="20" xfId="5" applyNumberFormat="1" applyFont="1" applyFill="1" applyBorder="1" applyAlignment="1">
      <alignment horizontal="right" vertical="center" wrapText="1"/>
    </xf>
    <xf numFmtId="41" fontId="31" fillId="0" borderId="1" xfId="2" applyFont="1" applyFill="1" applyBorder="1" applyAlignment="1" applyProtection="1">
      <alignment horizontal="center" vertical="center" wrapText="1"/>
    </xf>
    <xf numFmtId="165" fontId="6" fillId="0" borderId="3" xfId="0" applyNumberFormat="1" applyFont="1" applyFill="1" applyBorder="1" applyAlignment="1">
      <alignment horizontal="center" vertical="center" wrapText="1"/>
    </xf>
    <xf numFmtId="10" fontId="6" fillId="0" borderId="3" xfId="5" applyNumberFormat="1" applyFont="1" applyFill="1" applyBorder="1" applyAlignment="1">
      <alignment horizontal="center" vertical="center"/>
    </xf>
    <xf numFmtId="9" fontId="6" fillId="0" borderId="3" xfId="0" applyNumberFormat="1" applyFont="1" applyFill="1" applyBorder="1" applyAlignment="1">
      <alignment horizontal="center" vertical="center" wrapText="1"/>
    </xf>
    <xf numFmtId="166" fontId="6" fillId="0" borderId="3" xfId="1" applyNumberFormat="1" applyFont="1" applyFill="1" applyBorder="1" applyAlignment="1">
      <alignment vertical="center"/>
    </xf>
    <xf numFmtId="164" fontId="6" fillId="0" borderId="3" xfId="0" applyNumberFormat="1" applyFont="1" applyFill="1" applyBorder="1" applyAlignment="1">
      <alignment horizontal="center" vertical="center" wrapText="1"/>
    </xf>
    <xf numFmtId="41" fontId="6" fillId="0" borderId="3" xfId="2" applyFont="1" applyFill="1" applyBorder="1" applyAlignment="1">
      <alignment horizontal="center" vertical="center"/>
    </xf>
    <xf numFmtId="0" fontId="6" fillId="0" borderId="3" xfId="0" applyFont="1" applyFill="1" applyBorder="1" applyAlignment="1">
      <alignment horizontal="center" vertical="center"/>
    </xf>
    <xf numFmtId="3" fontId="6" fillId="0" borderId="3"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10" fontId="6" fillId="0" borderId="17" xfId="0" applyNumberFormat="1" applyFont="1" applyFill="1" applyBorder="1" applyAlignment="1">
      <alignment horizontal="center" vertical="center"/>
    </xf>
    <xf numFmtId="10" fontId="6" fillId="0" borderId="22" xfId="3" applyNumberFormat="1" applyFont="1" applyFill="1" applyBorder="1" applyAlignment="1">
      <alignment horizontal="right" vertical="center"/>
    </xf>
    <xf numFmtId="0" fontId="6" fillId="0" borderId="17" xfId="0" applyFont="1" applyFill="1" applyBorder="1" applyAlignment="1">
      <alignment horizontal="center" vertical="center" wrapText="1"/>
    </xf>
    <xf numFmtId="9" fontId="6" fillId="0" borderId="1" xfId="4" applyNumberFormat="1" applyFont="1" applyFill="1" applyBorder="1" applyAlignment="1" applyProtection="1">
      <alignment horizontal="center" vertical="center" wrapText="1"/>
    </xf>
    <xf numFmtId="9" fontId="6" fillId="0" borderId="1" xfId="0" applyNumberFormat="1" applyFont="1" applyFill="1" applyBorder="1" applyAlignment="1">
      <alignment horizontal="center" vertical="center" wrapText="1"/>
    </xf>
    <xf numFmtId="43" fontId="6" fillId="0" borderId="6" xfId="1" applyFont="1" applyFill="1" applyBorder="1" applyAlignment="1">
      <alignment horizontal="right" vertical="center" wrapText="1"/>
    </xf>
    <xf numFmtId="9" fontId="6" fillId="0" borderId="6" xfId="5" applyFont="1" applyFill="1" applyBorder="1" applyAlignment="1">
      <alignment horizontal="center" vertical="center" wrapText="1"/>
    </xf>
    <xf numFmtId="0" fontId="5" fillId="0" borderId="11" xfId="0" applyFont="1" applyFill="1" applyBorder="1" applyAlignment="1">
      <alignment horizontal="left" vertical="center" wrapText="1"/>
    </xf>
    <xf numFmtId="0" fontId="0" fillId="0" borderId="3" xfId="0" applyFont="1" applyBorder="1" applyAlignment="1">
      <alignment horizontal="left" vertical="center" wrapText="1"/>
    </xf>
    <xf numFmtId="166" fontId="18" fillId="11" borderId="20" xfId="1" applyNumberFormat="1" applyFont="1" applyFill="1" applyBorder="1" applyAlignment="1">
      <alignment horizontal="right" vertical="center"/>
    </xf>
    <xf numFmtId="10" fontId="38" fillId="12" borderId="20" xfId="5" applyNumberFormat="1" applyFont="1" applyFill="1" applyBorder="1" applyAlignment="1">
      <alignment horizontal="right" vertical="center" wrapText="1"/>
    </xf>
    <xf numFmtId="10" fontId="6" fillId="12" borderId="1" xfId="5" applyNumberFormat="1" applyFont="1" applyFill="1" applyBorder="1" applyAlignment="1" applyProtection="1">
      <alignment horizontal="center" vertical="center" wrapText="1"/>
    </xf>
    <xf numFmtId="0" fontId="0" fillId="24" borderId="0" xfId="0" applyFill="1" applyAlignment="1">
      <alignment horizontal="center" vertical="center" wrapText="1"/>
    </xf>
    <xf numFmtId="10" fontId="18" fillId="12" borderId="20" xfId="0" applyNumberFormat="1" applyFont="1" applyFill="1" applyBorder="1" applyAlignment="1">
      <alignment horizontal="right" vertical="center" wrapText="1"/>
    </xf>
    <xf numFmtId="166" fontId="18" fillId="12" borderId="20" xfId="1" applyNumberFormat="1" applyFont="1" applyFill="1" applyBorder="1" applyAlignment="1">
      <alignment horizontal="right" vertical="center" wrapText="1"/>
    </xf>
    <xf numFmtId="0" fontId="6" fillId="15" borderId="0" xfId="0" applyFont="1" applyFill="1" applyAlignment="1">
      <alignment horizontal="center" vertical="center" wrapText="1"/>
    </xf>
    <xf numFmtId="0" fontId="6" fillId="16" borderId="6" xfId="0" applyFont="1" applyFill="1" applyBorder="1" applyAlignment="1">
      <alignment horizontal="center" vertical="center" wrapText="1"/>
    </xf>
    <xf numFmtId="166" fontId="0" fillId="0" borderId="0" xfId="0" applyNumberFormat="1"/>
    <xf numFmtId="41" fontId="0" fillId="0" borderId="0" xfId="0" applyNumberFormat="1"/>
    <xf numFmtId="0" fontId="0" fillId="9" borderId="90" xfId="0" applyFill="1" applyBorder="1" applyAlignment="1">
      <alignment horizontal="center" vertical="center" wrapText="1"/>
    </xf>
    <xf numFmtId="49" fontId="17" fillId="9" borderId="43" xfId="0" applyNumberFormat="1" applyFont="1" applyFill="1" applyBorder="1" applyAlignment="1">
      <alignment horizontal="left" vertical="center"/>
    </xf>
    <xf numFmtId="166" fontId="37" fillId="0" borderId="20" xfId="1" applyNumberFormat="1" applyFont="1" applyFill="1" applyBorder="1" applyAlignment="1">
      <alignment horizontal="right" vertical="center" wrapText="1"/>
    </xf>
    <xf numFmtId="165" fontId="0" fillId="0" borderId="0" xfId="0" applyNumberFormat="1" applyFont="1"/>
    <xf numFmtId="166" fontId="6" fillId="12" borderId="1" xfId="1" applyNumberFormat="1" applyFont="1" applyFill="1" applyBorder="1" applyAlignment="1">
      <alignment horizontal="right" vertical="center" wrapText="1"/>
    </xf>
    <xf numFmtId="10" fontId="0" fillId="9" borderId="91" xfId="5" applyNumberFormat="1" applyFont="1" applyFill="1" applyBorder="1" applyAlignment="1">
      <alignment horizontal="center" vertical="center" wrapText="1"/>
    </xf>
    <xf numFmtId="10" fontId="0" fillId="9" borderId="91" xfId="5" applyNumberFormat="1" applyFont="1" applyFill="1" applyBorder="1" applyAlignment="1">
      <alignment horizontal="center" vertical="center"/>
    </xf>
    <xf numFmtId="10" fontId="6" fillId="9" borderId="91" xfId="5" applyNumberFormat="1" applyFont="1" applyFill="1" applyBorder="1" applyAlignment="1">
      <alignment horizontal="center" vertical="center" wrapText="1"/>
    </xf>
    <xf numFmtId="41" fontId="0" fillId="9" borderId="92" xfId="2" applyFont="1" applyFill="1" applyBorder="1" applyAlignment="1">
      <alignment horizontal="center" vertical="center" wrapText="1"/>
    </xf>
    <xf numFmtId="41" fontId="0" fillId="9" borderId="92" xfId="2" applyFont="1" applyFill="1" applyBorder="1" applyAlignment="1">
      <alignment horizontal="center" vertical="center"/>
    </xf>
    <xf numFmtId="10" fontId="6" fillId="9" borderId="92" xfId="5" applyNumberFormat="1" applyFont="1" applyFill="1" applyBorder="1" applyAlignment="1">
      <alignment horizontal="center" vertical="center" wrapText="1"/>
    </xf>
    <xf numFmtId="0" fontId="0" fillId="9" borderId="91" xfId="0" applyFill="1" applyBorder="1" applyAlignment="1">
      <alignment horizontal="center" vertical="center" wrapText="1"/>
    </xf>
    <xf numFmtId="0" fontId="0" fillId="9" borderId="91" xfId="0" applyFill="1" applyBorder="1" applyAlignment="1">
      <alignment horizontal="left" vertical="center" wrapText="1"/>
    </xf>
    <xf numFmtId="0" fontId="0" fillId="9" borderId="91" xfId="0" applyFill="1" applyBorder="1" applyAlignment="1">
      <alignment horizontal="center" vertical="center"/>
    </xf>
    <xf numFmtId="0" fontId="6" fillId="9" borderId="91" xfId="5" applyNumberFormat="1" applyFont="1" applyFill="1" applyBorder="1" applyAlignment="1">
      <alignment horizontal="center" vertical="center" wrapText="1"/>
    </xf>
    <xf numFmtId="10" fontId="0" fillId="9" borderId="94" xfId="5" applyNumberFormat="1" applyFont="1" applyFill="1" applyBorder="1" applyAlignment="1">
      <alignment horizontal="center" vertical="center" wrapText="1"/>
    </xf>
    <xf numFmtId="10" fontId="0" fillId="9" borderId="96" xfId="5" applyNumberFormat="1" applyFont="1" applyFill="1" applyBorder="1" applyAlignment="1">
      <alignment horizontal="center" vertical="center" wrapText="1"/>
    </xf>
    <xf numFmtId="10" fontId="6" fillId="9" borderId="96" xfId="5" applyNumberFormat="1" applyFont="1" applyFill="1" applyBorder="1" applyAlignment="1">
      <alignment horizontal="center" vertical="center" wrapText="1"/>
    </xf>
    <xf numFmtId="0" fontId="0" fillId="9" borderId="92" xfId="0" applyFill="1" applyBorder="1" applyAlignment="1">
      <alignment horizontal="center" vertical="center" wrapText="1"/>
    </xf>
    <xf numFmtId="0" fontId="0" fillId="9" borderId="92" xfId="0" applyFill="1" applyBorder="1" applyAlignment="1">
      <alignment horizontal="left" vertical="center" wrapText="1"/>
    </xf>
    <xf numFmtId="0" fontId="0" fillId="9" borderId="92" xfId="0" applyFill="1" applyBorder="1" applyAlignment="1">
      <alignment horizontal="center" vertical="center"/>
    </xf>
    <xf numFmtId="10" fontId="0" fillId="9" borderId="92" xfId="5" applyNumberFormat="1" applyFont="1" applyFill="1" applyBorder="1" applyAlignment="1">
      <alignment horizontal="center" vertical="center"/>
    </xf>
    <xf numFmtId="10" fontId="0" fillId="9" borderId="92" xfId="5" applyNumberFormat="1" applyFont="1" applyFill="1" applyBorder="1" applyAlignment="1">
      <alignment horizontal="center" vertical="center" wrapText="1"/>
    </xf>
    <xf numFmtId="0" fontId="6" fillId="9" borderId="92" xfId="5" applyNumberFormat="1" applyFont="1" applyFill="1" applyBorder="1" applyAlignment="1">
      <alignment horizontal="center" vertical="center" wrapText="1"/>
    </xf>
    <xf numFmtId="49" fontId="0" fillId="9" borderId="92" xfId="0" applyNumberFormat="1" applyFill="1" applyBorder="1" applyAlignment="1">
      <alignment horizontal="center" vertical="center" wrapText="1"/>
    </xf>
    <xf numFmtId="10" fontId="0" fillId="9" borderId="98" xfId="5" applyNumberFormat="1" applyFont="1" applyFill="1" applyBorder="1" applyAlignment="1">
      <alignment horizontal="center" vertical="center" wrapText="1"/>
    </xf>
    <xf numFmtId="10" fontId="0" fillId="9" borderId="0" xfId="5" applyNumberFormat="1" applyFont="1" applyFill="1" applyAlignment="1">
      <alignment horizontal="center"/>
    </xf>
    <xf numFmtId="0" fontId="24" fillId="9" borderId="0" xfId="0" applyFont="1" applyFill="1" applyBorder="1" applyAlignment="1">
      <alignment horizontal="center" vertical="center" wrapText="1"/>
    </xf>
    <xf numFmtId="10" fontId="0" fillId="9" borderId="0" xfId="5" applyNumberFormat="1" applyFont="1" applyFill="1" applyBorder="1" applyAlignment="1">
      <alignment horizontal="center"/>
    </xf>
    <xf numFmtId="0" fontId="41" fillId="9" borderId="0" xfId="0" applyFont="1" applyFill="1" applyAlignment="1">
      <alignment horizontal="center" vertical="center"/>
    </xf>
    <xf numFmtId="10" fontId="0" fillId="9" borderId="0" xfId="5" applyNumberFormat="1" applyFont="1" applyFill="1" applyBorder="1" applyAlignment="1">
      <alignment horizontal="center" vertical="center"/>
    </xf>
    <xf numFmtId="0" fontId="2" fillId="0" borderId="0" xfId="0" applyFont="1" applyBorder="1" applyAlignment="1">
      <alignment horizontal="left" vertical="center"/>
    </xf>
    <xf numFmtId="0" fontId="0" fillId="0" borderId="1" xfId="0" applyFill="1" applyBorder="1" applyAlignment="1">
      <alignment horizontal="center" vertical="center"/>
    </xf>
    <xf numFmtId="0" fontId="0" fillId="0" borderId="11" xfId="0" applyFill="1" applyBorder="1" applyAlignment="1">
      <alignment horizontal="center" vertical="center"/>
    </xf>
    <xf numFmtId="0" fontId="20" fillId="0" borderId="1" xfId="0" applyFont="1" applyFill="1" applyBorder="1" applyAlignment="1">
      <alignment horizontal="left" vertical="top" wrapText="1"/>
    </xf>
    <xf numFmtId="0" fontId="20" fillId="0" borderId="11" xfId="0" applyFont="1" applyFill="1" applyBorder="1" applyAlignment="1">
      <alignment horizontal="left" vertical="center"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31"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9" fillId="18" borderId="40" xfId="0" applyFont="1" applyFill="1" applyBorder="1" applyAlignment="1">
      <alignment horizontal="center" vertical="center"/>
    </xf>
    <xf numFmtId="0" fontId="39" fillId="18" borderId="38" xfId="0" applyFont="1" applyFill="1" applyBorder="1" applyAlignment="1">
      <alignment horizontal="center" vertical="center"/>
    </xf>
    <xf numFmtId="0" fontId="39" fillId="18" borderId="39" xfId="0" applyFont="1" applyFill="1" applyBorder="1" applyAlignment="1">
      <alignment horizontal="center" vertical="center"/>
    </xf>
    <xf numFmtId="0" fontId="42" fillId="9" borderId="0" xfId="0" applyFont="1" applyFill="1" applyAlignment="1">
      <alignment horizontal="center"/>
    </xf>
    <xf numFmtId="0" fontId="40" fillId="9" borderId="0" xfId="0" applyFont="1" applyFill="1" applyAlignment="1">
      <alignment horizontal="center" vertical="center"/>
    </xf>
    <xf numFmtId="0" fontId="24" fillId="18" borderId="44" xfId="0" applyFont="1" applyFill="1" applyBorder="1" applyAlignment="1">
      <alignment horizontal="center" vertical="center" wrapText="1"/>
    </xf>
    <xf numFmtId="0" fontId="24" fillId="18" borderId="45" xfId="0" applyFont="1" applyFill="1" applyBorder="1" applyAlignment="1">
      <alignment horizontal="center" vertical="center" wrapText="1"/>
    </xf>
    <xf numFmtId="0" fontId="24" fillId="18" borderId="60" xfId="0" applyFont="1" applyFill="1" applyBorder="1" applyAlignment="1">
      <alignment horizontal="center" vertical="center" wrapText="1"/>
    </xf>
    <xf numFmtId="0" fontId="0" fillId="9" borderId="95" xfId="0" applyFill="1" applyBorder="1" applyAlignment="1">
      <alignment horizontal="center" vertical="center" wrapText="1"/>
    </xf>
    <xf numFmtId="0" fontId="0" fillId="9" borderId="93" xfId="0" applyFill="1" applyBorder="1" applyAlignment="1">
      <alignment horizontal="center" vertical="center" wrapText="1"/>
    </xf>
    <xf numFmtId="0" fontId="39" fillId="18" borderId="42" xfId="0" applyFont="1" applyFill="1" applyBorder="1" applyAlignment="1">
      <alignment horizontal="right" vertical="center" wrapText="1"/>
    </xf>
    <xf numFmtId="0" fontId="39" fillId="18" borderId="12" xfId="0" applyFont="1" applyFill="1" applyBorder="1" applyAlignment="1">
      <alignment horizontal="right" vertical="center" wrapText="1"/>
    </xf>
    <xf numFmtId="0" fontId="0" fillId="9" borderId="97" xfId="0" applyFill="1" applyBorder="1" applyAlignment="1">
      <alignment horizontal="center" vertical="center" wrapText="1"/>
    </xf>
    <xf numFmtId="0" fontId="0" fillId="9" borderId="72" xfId="0" applyFill="1" applyBorder="1" applyAlignment="1">
      <alignment horizontal="center" vertical="center" wrapText="1"/>
    </xf>
    <xf numFmtId="0" fontId="0" fillId="9" borderId="74" xfId="0" applyFill="1" applyBorder="1" applyAlignment="1">
      <alignment horizontal="center" vertical="center" wrapText="1"/>
    </xf>
    <xf numFmtId="0" fontId="30" fillId="12" borderId="14" xfId="0" applyFont="1" applyFill="1" applyBorder="1" applyAlignment="1">
      <alignment horizontal="center"/>
    </xf>
    <xf numFmtId="0" fontId="30" fillId="12" borderId="5" xfId="0" applyFont="1" applyFill="1" applyBorder="1" applyAlignment="1">
      <alignment horizontal="center"/>
    </xf>
    <xf numFmtId="0" fontId="30" fillId="12" borderId="4" xfId="0" applyFont="1" applyFill="1" applyBorder="1" applyAlignment="1">
      <alignment horizontal="center" vertical="center" wrapText="1"/>
    </xf>
    <xf numFmtId="0" fontId="30" fillId="12" borderId="8" xfId="0" applyFont="1" applyFill="1" applyBorder="1" applyAlignment="1">
      <alignment horizontal="center" vertical="center" wrapText="1"/>
    </xf>
    <xf numFmtId="0" fontId="30" fillId="12" borderId="4" xfId="0" applyFont="1" applyFill="1" applyBorder="1" applyAlignment="1">
      <alignment horizontal="center"/>
    </xf>
    <xf numFmtId="0" fontId="28" fillId="9" borderId="38" xfId="0" applyFont="1" applyFill="1" applyBorder="1" applyAlignment="1">
      <alignment horizontal="center"/>
    </xf>
    <xf numFmtId="0" fontId="28" fillId="9" borderId="39" xfId="0" applyFont="1" applyFill="1" applyBorder="1" applyAlignment="1">
      <alignment horizontal="center"/>
    </xf>
    <xf numFmtId="0" fontId="28" fillId="9" borderId="40" xfId="0" applyFont="1" applyFill="1" applyBorder="1" applyAlignment="1">
      <alignment horizontal="center"/>
    </xf>
    <xf numFmtId="0" fontId="35" fillId="9" borderId="0" xfId="0" applyFont="1" applyFill="1" applyAlignment="1">
      <alignment horizontal="center"/>
    </xf>
    <xf numFmtId="0" fontId="32" fillId="9" borderId="27" xfId="0" applyFont="1" applyFill="1" applyBorder="1" applyAlignment="1">
      <alignment horizontal="left" vertical="center" wrapText="1"/>
    </xf>
    <xf numFmtId="0" fontId="32" fillId="9" borderId="0" xfId="0" applyFont="1" applyFill="1" applyBorder="1" applyAlignment="1">
      <alignment horizontal="left" vertical="center" wrapText="1"/>
    </xf>
    <xf numFmtId="0" fontId="47" fillId="9" borderId="0" xfId="0" applyFont="1" applyFill="1" applyAlignment="1">
      <alignment horizontal="left" vertical="center" wrapText="1"/>
    </xf>
    <xf numFmtId="0" fontId="47" fillId="9" borderId="0" xfId="0" applyFont="1" applyFill="1" applyAlignment="1"/>
  </cellXfs>
  <cellStyles count="6">
    <cellStyle name="Millares" xfId="1" builtinId="3"/>
    <cellStyle name="Millares [0]" xfId="2" builtinId="6"/>
    <cellStyle name="Normal" xfId="0" builtinId="0"/>
    <cellStyle name="Porcentaje" xfId="5" builtinId="5"/>
    <cellStyle name="Porcentaje 2 2" xfId="4" xr:uid="{00000000-0005-0000-0000-000004000000}"/>
    <cellStyle name="Porcentaje 3" xfId="3" xr:uid="{00000000-0005-0000-0000-000005000000}"/>
  </cellStyles>
  <dxfs count="25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patternType="solid">
          <bgColor rgb="FFFFFF00"/>
        </patternFill>
      </fill>
    </dxf>
    <dxf>
      <fill>
        <patternFill patternType="solid">
          <bgColor rgb="FFFFFF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colors>
    <mruColors>
      <color rgb="FF0050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275167</xdr:colOff>
      <xdr:row>0</xdr:row>
      <xdr:rowOff>158749</xdr:rowOff>
    </xdr:from>
    <xdr:to>
      <xdr:col>4</xdr:col>
      <xdr:colOff>1449917</xdr:colOff>
      <xdr:row>3</xdr:row>
      <xdr:rowOff>296332</xdr:rowOff>
    </xdr:to>
    <xdr:pic>
      <xdr:nvPicPr>
        <xdr:cNvPr id="3" name="x__x0000_i1025" descr="cid:image002.jpg@01D4B493.C5F07790">
          <a:extLst>
            <a:ext uri="{FF2B5EF4-FFF2-40B4-BE49-F238E27FC236}">
              <a16:creationId xmlns:a16="http://schemas.microsoft.com/office/drawing/2014/main" id="{3FBAE600-51FB-423D-8102-5B888A566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58749"/>
          <a:ext cx="3238500" cy="709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nia Esperanza Casas Merchan" refreshedDate="43307.64356921296" createdVersion="5" refreshedVersion="6" minRefreshableVersion="3" recordCount="78" xr:uid="{00000000-000A-0000-FFFF-FFFF01000000}">
  <cacheSource type="worksheet">
    <worksheetSource ref="A4:AH82" sheet="Base Indicadores"/>
  </cacheSource>
  <cacheFields count="34">
    <cacheField name="ANALISTA OAPF" numFmtId="0">
      <sharedItems/>
    </cacheField>
    <cacheField name="DESPACHO " numFmtId="0">
      <sharedItems count="3">
        <s v="BASICA"/>
        <s v="SUPERIOR"/>
        <s v="TECNOLOGÍA"/>
      </sharedItems>
    </cacheField>
    <cacheField name="ÁREA" numFmtId="0">
      <sharedItems count="16">
        <s v="Dirección de Cobertura y Equidad EPBM"/>
        <s v="Subdirección de Acceso"/>
        <s v="Dirección de Fortalecimiento a la Gestión Territorial"/>
        <s v="Subdirección de Permanencia"/>
        <s v="Dirección de Calidad EPBM"/>
        <s v="Dirección de Calidad EPBM - Subdirección de Fomento de Competencias"/>
        <s v="Dirección de Calidad EPBM - Jornada Única"/>
        <s v="Dirección de Calidad EPBM -  PTA"/>
        <s v="Dirección de Fomento ES"/>
        <s v="Oficina de Tecnología y sistemas de información"/>
        <s v="Dirección de Fomento ES - Vicepresidencia Crédito - ICETEX"/>
        <s v="Dirección de Calidad ES"/>
        <s v="Vicepresidencia Crédito - ICETEX - Dirección de Fomento ES"/>
        <s v="Asesora del Viceministerio de Educación Preesclar Básica y Media de grupos étnicos"/>
        <s v="Dirección de Primera Infancia"/>
        <s v="Subdirección de Fomento de Competencias"/>
      </sharedItems>
    </cacheField>
    <cacheField name="TABLERO PRES." numFmtId="0">
      <sharedItems/>
    </cacheField>
    <cacheField name="Nombre del Indicador" numFmtId="0">
      <sharedItems count="81">
        <s v="Tasa de cobertura bruta en educación media"/>
        <s v="Tasa de supervivencia de grado primero a 11"/>
        <s v="Proporción de niños entre 6 y 16 años en el hogar que asisten al colegio"/>
        <s v="Tasa de deserción intra-anual de educación preescolar, básica y media"/>
        <s v="Tasa de cobertura bruta en educación media en la zona rural"/>
        <s v="Sedes rurales intervenidas con mejoramiento o construcción de infraestructura"/>
        <s v="Porcentaje de docentes que entran al magisterio que se encuentran en los quintiles superiores (4 y 5) de las pruebas SABER PRO en Razonamiento Cuantitativo"/>
        <s v="Porcentaje de docentes que entran al magisterio que se encuentran en los quintiles superiores (4 y 5) de las pruebas SABER PRO en Lectura Crítica"/>
        <s v="Tasa de analfabetismo para población de 15 años y más"/>
        <s v="Nuevos jóvenes y adultos alfabetizados"/>
        <s v="Tasa de cobertura bruta en educación media - Centro Sur"/>
        <s v="Tasa de cobertura bruta de educación media - Llanos"/>
        <s v="Estudiantes matriculados en programas de educación flexible en la región llanos"/>
        <s v="Sedes educativas rurales con Modelos Educativos Flexibles - Llanos"/>
        <s v="Tasa de cobertura bruta en educación media  - Pacífico"/>
        <s v="Estudiantes matriculados en programas de educación flexible en la región - Pacífico"/>
        <s v="Sedes educativas rurales con Modelos Educativos Flexibles - Pacífico"/>
        <s v="Tasa de cobertura bruta en educación media - Eje Cafetero"/>
        <s v="Sedes rurales oficiales intervenidas con mejoramiento o construcción de infraestructura - Eje Cafetero"/>
        <s v="Tasa de supervivencia de grado primero a once en zona rural en la región del eje cafetero"/>
        <s v="Sedes educativas rurales con Modelos Educativos Flexibles - Eje Cafetero"/>
        <s v="Tasa de cobertura bruta en educación media - Caribe"/>
        <s v="Estudiantes matriculados en programas de educación flexible en la región - Caribe"/>
        <s v="Sedes educativas de la región con Modelos Educativos Flexibles - Caribe"/>
        <s v="Personas de 15 años y más analfabetas - Caribe"/>
        <s v="Aulas nuevas y ampliadas del Plan de Infraestructura para atender Jornada Única"/>
        <s v="Tasa de cobertura bruta en educación media en San Andrés"/>
        <s v="Porcentaje de colegios oficiales en las categorias A+, A y B en las pruebas Saber 11"/>
        <s v="Porcentaje de la población evaluada en el sector oficial en las pruebas SABER 5 que sube de nivel de logro, respecto a la línea base"/>
        <s v="Porcentaje de estudiantes del sector oficial evaluados con nivel B1 o superior de inglés del Marco Común Europeo"/>
        <s v="Porcentaje de estudiantes con jornada única"/>
        <s v="Porcentaje de estudiantes en establecimientos focalizados por el Programa Todos a Aprender con niveles Satisfactorio y Avanzado en pruebas de lenguaje SABER 5"/>
        <s v="Porcentaje de estudiantes en establecimientos focalizados por el Programa Todos a Aprender en niveles Satisfactorio y Avanzado en pruebas de Matemáticas SABER 5"/>
        <s v="Docentes por tutor en el programa Todos a Aprender"/>
        <s v="Porcentaje de personas que ingresan a programas de licenciatura que están entre los puestos del 1 a 400 de la prueba SABER 11"/>
        <s v="Porcentaje de docentes oficiales de educación preescolar, básica y media con formación de postgrado"/>
        <s v="Docentes de inglés del sector oficial evaluados con nivel B2 o superior de acuerdo a los niveles del Marco Común Europeo de Referencia"/>
        <s v="Docentes formados en inglés"/>
        <s v="Porcentaje de estudiantes del sector oficial en niveles satisfactorio y avanzado pruebas SABER 5 (matemáticas) - Eje Cafetero"/>
        <s v="Tutores vinculados al Programa Todos a Aprender 2.0"/>
        <s v="Índice sintético de calidad educativa Primaria"/>
        <s v="Número de colegios oficiales en las categorias A+, A y B en las pruebas SABER 11"/>
        <s v="Número de estudiantes en el sector oficial con jornada única"/>
        <s v="Tasa de cobertura de alta calidad en educación superior"/>
        <s v="Porcentaje de matrícula oficial con conexión a internet"/>
        <s v="Estudiantes beneficiados con créditos condonables para programas profesionales de licenciatura en Instituciones Educativas Certificadas con alta calidad"/>
        <s v="Porcentaje de programas de licenciatura con acreditación de alta calidad"/>
        <s v="Porcentaje de estudiantes de licenciatura en nivel de desempeño alto (nivel 3) en pruebas de razonamiento cuantitativo de SABER PRO"/>
        <s v="Porcentaje de estudiantes de licenciatura en nivel de desempeño alto (nivel 3) en pruebas de lectura crítica de SABER PRO"/>
        <s v="Porcentaje de cupos de educación técnica y tecnológica con acreditación de alta calidad en programas e IES con acreditacion de alta calidad"/>
        <s v="Nuevos cupos en educación técnica y tecnológica"/>
        <s v="Tasa de deserción anual en educación técnica y tecnológica"/>
        <s v="Tasa de Cobertura en Educación Superior"/>
        <s v="Nuevos Cupos en Educación Superior"/>
        <s v="Departamentos con tasa de Cobertura en Educación Superior por encima del 20%"/>
        <s v="Tasa de deserción en educación superior"/>
        <s v="Estudiantes beneficiados con nuevos créditos condonables"/>
        <s v="Porcentaje de créditos nuevos de pregrado aprobados en Programas o Instituciones Educativas Certificadas con alta calidad"/>
        <s v="Docentes de Educación Superior con formación Doctoral"/>
        <s v="Ganancias en puestos de universidades colombianas en ranking internacional"/>
        <s v="Graduados en educación técnica y tecnológica en la región del eje cafetero"/>
        <s v="Nuevos cupos en educación técnica y tecnológica - Eje Cafetero"/>
        <s v="Profesionales graduados de maestría y doctorado en la región - Eje Cafetero"/>
        <s v="Estudiantes beneficiarios del Programa Ser Pilo Paga"/>
        <s v="Tasa de deserción del Programa Ser Pilo Paga"/>
        <s v="Cupos en educación superior para la población del Pueblo Rrom "/>
        <s v="Entidades territoriales (con presencia de poblacion rrom en sus EE) que cuentan con lineamientos de educación intercultural desde los usos y costumbres del Pueblo Rrom desde la primera infancia hasta la educación superior, diseñados y socializados"/>
        <s v="Programa de formación para adultos del Pueblo Rrom en el marco de usos y costumbres diseñado e implementado"/>
        <s v="Estudiantes indígenas beneficiarios de créditos del Fondo Alvaro Ulcue Chocue y otros programas de financiación"/>
        <s v="Talento humano cualificado para la atención integral a la primera infancia (MinEducación)"/>
        <s v="Porcentaje de niños y niñas atendidos en educación inicial en el marco de la atención integral que cuentan con las 8 atenciones priorizadas"/>
        <s v="Porcentaje de mujeres gestantes inscritas en las modalidades de educación inicial en el marco de la atención integral que cuentan con las 3 atenciones priorizadas"/>
        <s v="Porcentaje de talento humano cualificado vinculado a los servicios educación inicial en el marco de la atención integral."/>
        <s v=" Secretarias de Educación certificadas beneficiadas con acciones del programa de educación para la sexualidad y construcción de ciudadanía."/>
        <s v="Porcentaje de Instituciones Educativas que cuentan con el PESCC en los municipios en donde se implementa la estrategia nacional de prevención de embarazo en adolescentes. "/>
        <s v="Municipios focalizados por la estrategia nacional de prevención de embarazo en adolescentes que implementan Jornada Unica"/>
        <s v="Porcentaje de avance en la expedición de la Directiva Ministerial de Prestación del Servicio educativo, para garantizar la permanencia de adolescentes y jovenes en situación de embarazo adolescente."/>
        <s v="Porcentaje de población víctima atendida de 5 a 17 años que asisten al sistema educativo"/>
        <s v="Tasa de cobertura bruta en educación media en la zona rural_x000a__x000a_" u="1"/>
        <s v="Estudiantes beneficiados con nuevos créditos condonables " u="1"/>
        <s v="Porcentaje de docentes oficiales de educación preescolar,básica y media con formación de postgrado" u="1"/>
      </sharedItems>
    </cacheField>
    <cacheField name="TIPO INDICADOR" numFmtId="0">
      <sharedItems/>
    </cacheField>
    <cacheField name="PERIODICIDAD" numFmtId="0">
      <sharedItems/>
    </cacheField>
    <cacheField name="TIPO DE ACUMULACIÓN" numFmtId="0">
      <sharedItems/>
    </cacheField>
    <cacheField name="UNIDAD DE MEDIDA" numFmtId="0">
      <sharedItems/>
    </cacheField>
    <cacheField name="Meta Cuatrienio 2015-2018" numFmtId="0">
      <sharedItems containsMixedTypes="1" containsNumber="1" minValue="2.5000000000000001E-2" maxValue="1500000"/>
    </cacheField>
    <cacheField name="LB" numFmtId="0">
      <sharedItems containsMixedTypes="1" containsNumber="1" minValue="0" maxValue="690512"/>
    </cacheField>
    <cacheField name="META 2015" numFmtId="0">
      <sharedItems containsMixedTypes="1" containsNumber="1" minValue="0" maxValue="669101"/>
    </cacheField>
    <cacheField name="Avance _x000a_2015" numFmtId="0">
      <sharedItems containsSemiMixedTypes="0" containsString="0" containsNumber="1" minValue="0" maxValue="670974"/>
    </cacheField>
    <cacheField name="% CUMPL VS META_2015" numFmtId="0">
      <sharedItems containsBlank="1" containsMixedTypes="1" containsNumber="1" minValue="-2.2857142857142843" maxValue="4.633"/>
    </cacheField>
    <cacheField name="META 2016" numFmtId="0">
      <sharedItems containsMixedTypes="1" containsNumber="1" minValue="2.9499999999999998E-2" maxValue="711300"/>
    </cacheField>
    <cacheField name="META_ACUM2016" numFmtId="0">
      <sharedItems containsMixedTypes="1" containsNumber="1" minValue="2.9499999999999998E-2" maxValue="687411"/>
    </cacheField>
    <cacheField name="Avance _x000a_2016" numFmtId="0">
      <sharedItems containsSemiMixedTypes="0" containsString="0" containsNumber="1" minValue="-413" maxValue="667431"/>
    </cacheField>
    <cacheField name="Avance_Acum2016" numFmtId="0">
      <sharedItems containsSemiMixedTypes="0" containsString="0" containsNumber="1" minValue="0" maxValue="667431"/>
    </cacheField>
    <cacheField name="% CUMPL VS META_2016" numFmtId="0">
      <sharedItems containsSemiMixedTypes="0" containsString="0" containsNumber="1" minValue="-4.1333333333333275" maxValue="3.1441142857142856"/>
    </cacheField>
    <cacheField name="% CUMP VS META ACUMULADA" numFmtId="0">
      <sharedItems containsSemiMixedTypes="0" containsString="0" containsNumber="1" minValue="-1.0333333333333332" maxValue="3.1441142857142856"/>
    </cacheField>
    <cacheField name="META 2017" numFmtId="0">
      <sharedItems containsMixedTypes="1" containsNumber="1" minValue="2.8799999999999999E-2" maxValue="1000000"/>
    </cacheField>
    <cacheField name="META_ACUM 2017" numFmtId="0">
      <sharedItems containsMixedTypes="1" containsNumber="1" minValue="2.8799999999999999E-2" maxValue="1000000"/>
    </cacheField>
    <cacheField name="Avance _x000a_2017" numFmtId="0">
      <sharedItems containsMixedTypes="1" containsNumber="1" minValue="3.0800000000000001E-2" maxValue="730411"/>
    </cacheField>
    <cacheField name="Avance_Acum2017" numFmtId="0">
      <sharedItems containsMixedTypes="1" containsNumber="1" minValue="3.0800000000000001E-2" maxValue="730411"/>
    </cacheField>
    <cacheField name="% CUMPL VS META_2017" numFmtId="0">
      <sharedItems containsMixedTypes="1" containsNumber="1" minValue="0.04" maxValue="3.1977000000000002"/>
    </cacheField>
    <cacheField name="% CUMP VS META ACUMULADA2" numFmtId="0">
      <sharedItems containsMixedTypes="1" containsNumber="1" minValue="0.04" maxValue="2.9645120405576679"/>
    </cacheField>
    <cacheField name="MES ÚLTIMO REPORTE" numFmtId="0">
      <sharedItems containsBlank="1"/>
    </cacheField>
    <cacheField name="META 2018" numFmtId="0">
      <sharedItems containsMixedTypes="1" containsNumber="1" minValue="0" maxValue="1500000"/>
    </cacheField>
    <cacheField name="META_ACUM 2018" numFmtId="0">
      <sharedItems containsMixedTypes="1" containsNumber="1" minValue="2.5000000000000001E-2" maxValue="1500000"/>
    </cacheField>
    <cacheField name="Avance _x000a_2018" numFmtId="0">
      <sharedItems containsString="0" containsBlank="1" containsNumber="1" minValue="0" maxValue="793607"/>
    </cacheField>
    <cacheField name="Avance_Acum2018" numFmtId="0">
      <sharedItems containsString="0" containsBlank="1" containsNumber="1" minValue="0" maxValue="793607"/>
    </cacheField>
    <cacheField name="% CUMPL VS META_2018" numFmtId="0">
      <sharedItems containsString="0" containsBlank="1" containsNumber="1" minValue="0" maxValue="9.0781250000000053"/>
    </cacheField>
    <cacheField name="% CUMP VS META ACUMULADA3" numFmtId="0">
      <sharedItems containsString="0" containsBlank="1" containsNumber="1" minValue="0.24588668426025478" maxValue="5.1666666666666679"/>
    </cacheField>
    <cacheField name="REZAGO" numFmtId="0">
      <sharedItems containsMixedTypes="1" containsNumber="1" minValue="-88" maxValue="7063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Hector Flechas"/>
    <x v="0"/>
    <x v="0"/>
    <s v="NO"/>
    <x v="0"/>
    <s v="Resultado"/>
    <s v="Anual"/>
    <s v="Capacidad"/>
    <s v="Tasa"/>
    <n v="0.83"/>
    <n v="0.77300000000000002"/>
    <n v="0.79600000000000004"/>
    <n v="0.77810000000000001"/>
    <n v="0.97751256281407028"/>
    <n v="0.80400000000000005"/>
    <n v="0.80400000000000005"/>
    <n v="0.79479999999999995"/>
    <n v="0.79479999999999995"/>
    <n v="0.98855721393034812"/>
    <n v="0.98855721393034812"/>
    <n v="0.81899999999999995"/>
    <n v="0.81899999999999995"/>
    <n v="0.80110000000000003"/>
    <n v="0.80110000000000003"/>
    <n v="0.97814407814407822"/>
    <n v="0.97814407814407822"/>
    <s v="PENDIENTE"/>
    <n v="0.83"/>
    <n v="0.83"/>
    <m/>
    <m/>
    <m/>
    <m/>
    <n v="2.8899999999999926E-2"/>
  </r>
  <r>
    <s v="Hector Flechas"/>
    <x v="0"/>
    <x v="0"/>
    <s v="NO"/>
    <x v="1"/>
    <s v="Resultado"/>
    <s v="Anual"/>
    <s v="Capacidad"/>
    <s v="Tasa"/>
    <n v="0.45"/>
    <n v="0.372"/>
    <n v="0.39219999999999999"/>
    <n v="0.39700000000000002"/>
    <n v="1.0122386537480879"/>
    <n v="0.41149999999999998"/>
    <n v="0.41149999999999998"/>
    <n v="0.435"/>
    <n v="0.435"/>
    <n v="1.0571081409477521"/>
    <n v="1.0571081409477521"/>
    <n v="0.43009999999999998"/>
    <n v="0.43009999999999998"/>
    <s v="N.D."/>
    <s v="N.D."/>
    <e v="#VALUE!"/>
    <e v="#VALUE!"/>
    <s v="PENDIENTE"/>
    <n v="0.45"/>
    <n v="0.45"/>
    <m/>
    <m/>
    <m/>
    <m/>
    <e v="#VALUE!"/>
  </r>
  <r>
    <s v="Hector Flechas"/>
    <x v="0"/>
    <x v="0"/>
    <s v="NO"/>
    <x v="2"/>
    <s v="Resultado"/>
    <s v="Anual"/>
    <s v="Capacidad"/>
    <s v="Porcentaje"/>
    <n v="0.93"/>
    <n v="0.871"/>
    <n v="0.8901"/>
    <n v="0.86770000000000003"/>
    <n v="0.97483428828221552"/>
    <n v="0.91090000000000004"/>
    <n v="0.91090000000000004"/>
    <n v="0.86699999999999999"/>
    <n v="0.86699999999999999"/>
    <n v="0.95180590624656924"/>
    <n v="0.95180590624656924"/>
    <n v="0.91681999999999997"/>
    <n v="0.91681999999999997"/>
    <n v="0.86040000000000005"/>
    <n v="0.86040000000000005"/>
    <n v="0.938461202853341"/>
    <n v="0.938461202853341"/>
    <s v="PENDIENTE"/>
    <n v="0.93"/>
    <n v="0.93"/>
    <m/>
    <m/>
    <m/>
    <m/>
    <n v="6.9599999999999995E-2"/>
  </r>
  <r>
    <s v="Hector Flechas"/>
    <x v="0"/>
    <x v="0"/>
    <s v="NO"/>
    <x v="3"/>
    <s v="Resultado"/>
    <s v="Anual"/>
    <s v="Reducción"/>
    <s v="Porcentaje"/>
    <n v="2.5000000000000001E-2"/>
    <n v="3.1E-2"/>
    <n v="3.0300000000000001E-2"/>
    <n v="3.2599999999999997E-2"/>
    <n v="-2.2857142857142843"/>
    <n v="2.9499999999999998E-2"/>
    <n v="2.9499999999999998E-2"/>
    <n v="3.7199999999999997E-2"/>
    <n v="3.7199999999999997E-2"/>
    <n v="-4.1333333333333275"/>
    <n v="-1.0333333333333332"/>
    <n v="2.8799999999999999E-2"/>
    <n v="2.8799999999999999E-2"/>
    <n v="3.0800000000000001E-2"/>
    <n v="3.0800000000000001E-2"/>
    <n v="9.0909090909090329E-2"/>
    <n v="9.0909090909090329E-2"/>
    <s v="PENDIENTE"/>
    <n v="2.5000000000000001E-2"/>
    <n v="2.5000000000000001E-2"/>
    <m/>
    <m/>
    <n v="5.1666666666666679"/>
    <n v="5.1666666666666679"/>
    <n v="-5.7999999999999996E-3"/>
  </r>
  <r>
    <s v="Hector Flechas"/>
    <x v="0"/>
    <x v="0"/>
    <s v="SI"/>
    <x v="4"/>
    <s v="Resultado"/>
    <s v="Anual"/>
    <s v="Capacidad"/>
    <s v="Tasa"/>
    <n v="0.69"/>
    <n v="0.621"/>
    <n v="0.63278000000000001"/>
    <n v="0.63139999999999996"/>
    <n v="0.99781914725497001"/>
    <n v="0.65627000000000002"/>
    <n v="0.65629999999999999"/>
    <n v="0.64980000000000004"/>
    <n v="0.64980000000000004"/>
    <n v="0.9901412528380088"/>
    <n v="0.99009599268627158"/>
    <n v="0.67976000000000003"/>
    <n v="0.67976000000000003"/>
    <s v="N.D."/>
    <s v="N.D."/>
    <e v="#VALUE!"/>
    <e v="#VALUE!"/>
    <s v="PENDIENTE"/>
    <n v="0.69"/>
    <n v="0.69"/>
    <m/>
    <m/>
    <m/>
    <m/>
    <e v="#VALUE!"/>
  </r>
  <r>
    <s v="Hector Flechas"/>
    <x v="0"/>
    <x v="1"/>
    <s v="NO"/>
    <x v="5"/>
    <s v="Producto"/>
    <s v="Anual"/>
    <s v="Acumulado"/>
    <s v="Sedes rurales"/>
    <n v="1000"/>
    <n v="168"/>
    <n v="150"/>
    <n v="486"/>
    <n v="3.24"/>
    <n v="300"/>
    <n v="450"/>
    <n v="248"/>
    <n v="734"/>
    <n v="0.82666666666666666"/>
    <n v="1.6311111111111112"/>
    <n v="350"/>
    <n v="350"/>
    <s v="N.D."/>
    <s v="N.D."/>
    <e v="#VALUE!"/>
    <e v="#VALUE!"/>
    <s v="Diciembre"/>
    <n v="200"/>
    <n v="1000"/>
    <m/>
    <m/>
    <m/>
    <m/>
    <e v="#VALUE!"/>
  </r>
  <r>
    <s v="Hector Flechas"/>
    <x v="0"/>
    <x v="2"/>
    <s v="NO"/>
    <x v="6"/>
    <s v="Resultado"/>
    <s v="Anual"/>
    <s v="Capacidad"/>
    <s v="Porcentaje"/>
    <n v="0.45"/>
    <n v="0.371"/>
    <n v="0.38854"/>
    <n v="0.42159999999999997"/>
    <n v="1.0850877644515364"/>
    <n v="0.40622999999999998"/>
    <n v="0.40620000000000001"/>
    <n v="-3.9599999999999969E-2"/>
    <n v="0.38200000000000001"/>
    <n v="-9.7481722177091723E-2"/>
    <n v="0.94042343673067452"/>
    <n v="0.42392000000000002"/>
    <n v="0.42392000000000002"/>
    <s v="N.D."/>
    <s v="N.D."/>
    <e v="#VALUE!"/>
    <e v="#VALUE!"/>
    <s v="PENDIENTE"/>
    <n v="0.45"/>
    <n v="0.45"/>
    <m/>
    <m/>
    <m/>
    <m/>
    <e v="#VALUE!"/>
  </r>
  <r>
    <s v="Hector Flechas"/>
    <x v="0"/>
    <x v="2"/>
    <s v="SI"/>
    <x v="7"/>
    <s v="Resultado"/>
    <s v="Anual"/>
    <s v="Capacidad"/>
    <s v="Porcentaje"/>
    <n v="0.42"/>
    <n v="0.35699999999999998"/>
    <n v="0.37385000000000002"/>
    <n v="0.42659999999999998"/>
    <n v="1.1410993714056439"/>
    <n v="0.39087"/>
    <n v="0.39090000000000003"/>
    <n v="0.39400000000000002"/>
    <n v="0.39400000000000002"/>
    <n v="1.0080077775219383"/>
    <n v="1.0079304169864416"/>
    <n v="0.40788999999999997"/>
    <n v="0.40788999999999997"/>
    <s v="N.D."/>
    <s v="N.D."/>
    <e v="#VALUE!"/>
    <e v="#VALUE!"/>
    <s v="PENDIENTE"/>
    <n v="0.42"/>
    <n v="0.42"/>
    <m/>
    <m/>
    <m/>
    <m/>
    <n v="0.42"/>
  </r>
  <r>
    <s v="Hector Flechas"/>
    <x v="0"/>
    <x v="3"/>
    <s v="SI"/>
    <x v="8"/>
    <s v="Resultado"/>
    <s v="Anual"/>
    <s v="Reducción"/>
    <s v="Tasa"/>
    <n v="5.1700000000000003E-2"/>
    <n v="5.8099999999999999E-2"/>
    <n v="5.3539999999999997E-2"/>
    <n v="5.7500000000000002E-2"/>
    <n v="0.13157894736842021"/>
    <n v="4.897E-2"/>
    <n v="4.9000000000000002E-2"/>
    <n v="5.3499999999999999E-2"/>
    <n v="5.3499999999999999E-2"/>
    <n v="0.50383351588170866"/>
    <n v="0.71875000000000044"/>
    <n v="5.2499999999999998E-2"/>
    <n v="5.2499999999999998E-2"/>
    <n v="5.2400000000000002E-2"/>
    <n v="5.2400000000000002E-2"/>
    <n v="1.0178571428571421"/>
    <n v="1.0178571428571421"/>
    <s v="Noviembre"/>
    <n v="5.1700000000000003E-2"/>
    <n v="5.1700000000000003E-2"/>
    <n v="0"/>
    <n v="5.2400000000000002E-2"/>
    <n v="9.0781250000000053"/>
    <n v="0.890625"/>
    <n v="5.1700000000000003E-2"/>
  </r>
  <r>
    <s v="Hector Flechas"/>
    <x v="0"/>
    <x v="3"/>
    <s v="SI"/>
    <x v="9"/>
    <s v="Gestión"/>
    <s v="Anual"/>
    <s v="Flujo"/>
    <s v="Jovenes y adultos"/>
    <n v="776300"/>
    <n v="419082"/>
    <n v="540479"/>
    <n v="490659"/>
    <n v="0.90782250559226163"/>
    <n v="711300"/>
    <n v="292218"/>
    <n v="85159"/>
    <n v="575818"/>
    <n v="0.11972304231688458"/>
    <n v="1.9705083191316073"/>
    <n v="327218"/>
    <n v="746300"/>
    <n v="628452"/>
    <n v="628452"/>
    <n v="1.9205911655226791"/>
    <n v="0.84209031220688735"/>
    <s v="Noviembre"/>
    <n v="357218"/>
    <n v="776300"/>
    <m/>
    <m/>
    <m/>
    <m/>
    <n v="147848"/>
  </r>
  <r>
    <s v="Hector Flechas"/>
    <x v="0"/>
    <x v="0"/>
    <s v="NO"/>
    <x v="10"/>
    <s v="Producto"/>
    <s v="Anual"/>
    <s v="Capacidad"/>
    <s v="Tasa"/>
    <n v="0.75670000000000004"/>
    <n v="0.7147"/>
    <n v="0.71479999999999999"/>
    <n v="0.72970000000000002"/>
    <n v="1.0208449916060436"/>
    <n v="0.72319999999999995"/>
    <n v="0.72319999999999995"/>
    <n v="0.75239999999999996"/>
    <n v="0.75239999999999996"/>
    <n v="1.0403761061946903"/>
    <n v="1.0403761061946903"/>
    <n v="0.74329999999999996"/>
    <n v="0.74329999999999996"/>
    <n v="0.76570000000000005"/>
    <n v="0.76570000000000005"/>
    <n v="1.0301358805327594"/>
    <n v="1.0301358805327594"/>
    <s v="PENDIENTE"/>
    <n v="0.75670000000000004"/>
    <n v="0.75670000000000004"/>
    <m/>
    <m/>
    <m/>
    <m/>
    <n v="0.75670000000000004"/>
  </r>
  <r>
    <s v="Hector Flechas"/>
    <x v="0"/>
    <x v="0"/>
    <s v="NO"/>
    <x v="11"/>
    <s v="Resultado"/>
    <s v="Anual"/>
    <s v="Capacidad"/>
    <s v="Tasa"/>
    <n v="0.71130000000000004"/>
    <n v="0.60740000000000005"/>
    <n v="0.70697331363973004"/>
    <n v="0.73770000000000002"/>
    <n v="1.0434623001568177"/>
    <n v="0.70499999999999996"/>
    <n v="0.70499999999999996"/>
    <n v="0.75439999999999996"/>
    <n v="0.75439999999999996"/>
    <n v="1.0700709219858155"/>
    <n v="1.0700709219858155"/>
    <n v="0.70930000000000004"/>
    <n v="0.70930000000000004"/>
    <n v="0.75449999999999995"/>
    <n v="0.75449999999999995"/>
    <n v="1.0637247990977019"/>
    <n v="1.0637247990977019"/>
    <s v="PENDIENTE"/>
    <n v="0.71130000000000004"/>
    <n v="0.71130000000000004"/>
    <m/>
    <m/>
    <m/>
    <m/>
    <n v="0.71130000000000004"/>
  </r>
  <r>
    <s v="Hector Flechas"/>
    <x v="0"/>
    <x v="0"/>
    <s v="NO"/>
    <x v="12"/>
    <s v="Producto"/>
    <s v="Anual"/>
    <s v="Capacidad"/>
    <s v="Estudiantes"/>
    <n v="113658"/>
    <n v="109658"/>
    <n v="110658"/>
    <n v="102105"/>
    <n v="0.92270780241826167"/>
    <n v="111658"/>
    <n v="111658"/>
    <n v="5332"/>
    <n v="107437"/>
    <n v="4.7752959931218544E-2"/>
    <n v="0.96219706604094646"/>
    <n v="112658"/>
    <n v="112658"/>
    <n v="112959"/>
    <n v="112959"/>
    <n v="1.0026718031564559"/>
    <n v="1.0026718031564559"/>
    <s v="PENDIENTE"/>
    <n v="113658"/>
    <n v="113658"/>
    <m/>
    <m/>
    <m/>
    <m/>
    <n v="699"/>
  </r>
  <r>
    <s v="Hector Flechas"/>
    <x v="0"/>
    <x v="0"/>
    <s v="NO"/>
    <x v="13"/>
    <s v="Producto"/>
    <s v="Anual"/>
    <s v="Capacidad"/>
    <s v="Sedes educativas"/>
    <n v="311"/>
    <n v="251"/>
    <n v="275"/>
    <n v="247"/>
    <n v="0.89818181818181819"/>
    <n v="275"/>
    <n v="275"/>
    <n v="3"/>
    <n v="250"/>
    <n v="1.090909090909091E-2"/>
    <n v="0.90909090909090906"/>
    <n v="299"/>
    <n v="299"/>
    <n v="242"/>
    <n v="242"/>
    <n v="0.80936454849498329"/>
    <n v="0.80936454849498329"/>
    <s v="PENDIENTE"/>
    <n v="311"/>
    <n v="311"/>
    <m/>
    <m/>
    <m/>
    <m/>
    <n v="69"/>
  </r>
  <r>
    <s v="Hector Flechas"/>
    <x v="0"/>
    <x v="0"/>
    <s v="NO"/>
    <x v="14"/>
    <s v="Resultado"/>
    <s v="Anual"/>
    <s v="Flujo"/>
    <s v="Tasa"/>
    <n v="0.78320000000000001"/>
    <n v="0.73309999999999997"/>
    <n v="0.75700000000000001"/>
    <n v="0.73450000000000004"/>
    <n v="0.97027741083223251"/>
    <n v="0.75719999999999998"/>
    <n v="0.75719999999999998"/>
    <n v="0.73399999999999999"/>
    <n v="0.73399999999999999"/>
    <n v="0.96936080295826732"/>
    <n v="0.96936080295826732"/>
    <n v="0.7681"/>
    <n v="0.7681"/>
    <n v="0.73160000000000003"/>
    <n v="0.73160000000000003"/>
    <n v="0.95248014581434715"/>
    <n v="0.95248014581434715"/>
    <s v="PENDIENTE"/>
    <n v="0.78320000000000001"/>
    <n v="0.78320000000000001"/>
    <m/>
    <m/>
    <m/>
    <m/>
    <n v="0.78320000000000001"/>
  </r>
  <r>
    <s v="Hector Flechas"/>
    <x v="0"/>
    <x v="0"/>
    <s v="NO"/>
    <x v="15"/>
    <s v="Producto"/>
    <s v="Anual"/>
    <s v="Capacidad"/>
    <s v="Estudiantes"/>
    <n v="366740"/>
    <n v="362740"/>
    <n v="363740"/>
    <n v="336068"/>
    <n v="0.92392368175070105"/>
    <n v="364740"/>
    <n v="364740"/>
    <n v="-413"/>
    <n v="335655"/>
    <n v="-1.1323134287437627E-3"/>
    <n v="0.92025826616219775"/>
    <n v="365740"/>
    <n v="365740"/>
    <n v="327111"/>
    <n v="327111"/>
    <n v="0.89438125444304695"/>
    <n v="0.89438125444304695"/>
    <s v="PENDIENTE"/>
    <n v="366740"/>
    <n v="366740"/>
    <m/>
    <m/>
    <m/>
    <m/>
    <n v="39629"/>
  </r>
  <r>
    <s v="Hector Flechas"/>
    <x v="0"/>
    <x v="0"/>
    <s v="NO"/>
    <x v="16"/>
    <s v="Producto"/>
    <s v="Anual"/>
    <s v="Capacidad"/>
    <s v="Sedes educativas"/>
    <n v="5915"/>
    <n v="5515"/>
    <n v="5615"/>
    <n v="5661"/>
    <n v="1.0081923419412289"/>
    <n v="5715"/>
    <n v="5715"/>
    <n v="41"/>
    <n v="5702"/>
    <n v="7.1741032370953627E-3"/>
    <n v="0.99772528433945762"/>
    <n v="5815"/>
    <n v="5815"/>
    <n v="5654"/>
    <n v="5654"/>
    <n v="0.97231298366294072"/>
    <n v="0.97231298366294072"/>
    <s v="PENDIENTE"/>
    <n v="5915"/>
    <n v="5915"/>
    <m/>
    <m/>
    <m/>
    <m/>
    <n v="261"/>
  </r>
  <r>
    <s v="Hector Flechas"/>
    <x v="0"/>
    <x v="0"/>
    <s v="NO"/>
    <x v="17"/>
    <s v="Resultado"/>
    <s v="Anual"/>
    <s v="Capacidad"/>
    <s v="Tasa"/>
    <n v="0.91039999999999999"/>
    <n v="0.83819999999999995"/>
    <n v="0.86709999999999998"/>
    <n v="0.83379999999999999"/>
    <n v="0.96159612501441583"/>
    <n v="0.88149999999999995"/>
    <n v="0.88149999999999995"/>
    <n v="0.84209999999999996"/>
    <n v="0.84209999999999996"/>
    <n v="0.95530346001134436"/>
    <n v="0.95530346001134436"/>
    <n v="0.86599999999999999"/>
    <n v="0.86599999999999999"/>
    <n v="0.82850000000000001"/>
    <n v="0.82850000000000001"/>
    <n v="0.95669745958429564"/>
    <n v="0.95669745958429564"/>
    <s v="PENDIENTE"/>
    <n v="0.91039999999999999"/>
    <n v="0.91039999999999999"/>
    <m/>
    <m/>
    <m/>
    <m/>
    <n v="0.91039999999999999"/>
  </r>
  <r>
    <s v="Hector Flechas"/>
    <x v="0"/>
    <x v="1"/>
    <s v="NO"/>
    <x v="18"/>
    <s v="Producto"/>
    <s v="Anual"/>
    <s v="Capacidad"/>
    <s v="Sedes educativas"/>
    <n v="100"/>
    <n v="0"/>
    <n v="40"/>
    <n v="97"/>
    <n v="2.4249999999999998"/>
    <n v="60"/>
    <n v="60"/>
    <n v="26"/>
    <n v="123"/>
    <n v="0.43333333333333335"/>
    <n v="2.0499999999999998"/>
    <n v="80"/>
    <n v="80"/>
    <s v="N.D."/>
    <s v="N.D."/>
    <e v="#VALUE!"/>
    <e v="#VALUE!"/>
    <s v="Diciembre"/>
    <n v="100"/>
    <n v="100"/>
    <m/>
    <m/>
    <m/>
    <m/>
    <e v="#VALUE!"/>
  </r>
  <r>
    <s v="Hector Flechas"/>
    <x v="0"/>
    <x v="0"/>
    <s v="NO"/>
    <x v="19"/>
    <s v="Resultado"/>
    <s v="Anual"/>
    <s v="Capacidad"/>
    <s v="Tasa"/>
    <n v="0.189"/>
    <n v="0.16930000000000001"/>
    <n v="0.17399999999999999"/>
    <n v="0.1981"/>
    <n v="1.1385057471264368"/>
    <n v="0.17899999999999999"/>
    <n v="0.17899999999999999"/>
    <n v="0"/>
    <n v="0"/>
    <n v="0"/>
    <n v="0"/>
    <n v="0.184"/>
    <n v="0.184"/>
    <s v="N.D."/>
    <s v="N.D."/>
    <e v="#VALUE!"/>
    <e v="#VALUE!"/>
    <s v="PENDIENTE 2016 Y 2017"/>
    <n v="0.189"/>
    <n v="0.189"/>
    <m/>
    <m/>
    <m/>
    <m/>
    <e v="#VALUE!"/>
  </r>
  <r>
    <s v="Hector Flechas"/>
    <x v="0"/>
    <x v="0"/>
    <s v="NO"/>
    <x v="20"/>
    <s v="Producto"/>
    <s v="Anual"/>
    <s v="Capacidad"/>
    <s v="Sedes educativas"/>
    <n v="812"/>
    <n v="784"/>
    <n v="796"/>
    <n v="782"/>
    <n v="0.98241206030150752"/>
    <n v="801"/>
    <n v="801"/>
    <n v="19"/>
    <n v="801"/>
    <n v="2.3720349563046191E-2"/>
    <n v="1"/>
    <n v="807"/>
    <n v="807"/>
    <n v="800"/>
    <n v="800"/>
    <n v="0.99132589838909546"/>
    <n v="0.99132589838909546"/>
    <s v="PENDIENTE"/>
    <n v="812"/>
    <n v="812"/>
    <m/>
    <m/>
    <m/>
    <m/>
    <n v="12"/>
  </r>
  <r>
    <s v="Hector Flechas"/>
    <x v="0"/>
    <x v="0"/>
    <s v="NO"/>
    <x v="21"/>
    <s v="Resultado"/>
    <s v="Anual"/>
    <s v="Capacidad"/>
    <s v="Tasa"/>
    <n v="0.77090000000000003"/>
    <n v="0.72860000000000003"/>
    <n v="0.74319999999999997"/>
    <n v="0.73050000000000004"/>
    <n v="0.98291173304628643"/>
    <n v="0.74990000000000001"/>
    <n v="0.74990000000000001"/>
    <n v="0.76849999999999996"/>
    <n v="0.76849999999999996"/>
    <n v="1.0248033071076144"/>
    <n v="1.0248033071076144"/>
    <n v="0.76139999999999997"/>
    <n v="0.76139999999999997"/>
    <n v="0.7772"/>
    <n v="0.7772"/>
    <n v="1.0207512477016023"/>
    <n v="1.0207512477016023"/>
    <s v="PENDIENTE"/>
    <n v="0.77090000000000003"/>
    <n v="0.77090000000000003"/>
    <m/>
    <m/>
    <m/>
    <m/>
    <n v="0.77090000000000003"/>
  </r>
  <r>
    <s v="Hector Flechas"/>
    <x v="0"/>
    <x v="0"/>
    <s v="NO"/>
    <x v="22"/>
    <s v="Producto"/>
    <s v="Anual"/>
    <s v="Capacidad"/>
    <s v="Estudiantes"/>
    <n v="582001"/>
    <n v="432372"/>
    <n v="494798"/>
    <n v="397378"/>
    <n v="0.80311157280344703"/>
    <n v="496798"/>
    <n v="496798"/>
    <n v="22480"/>
    <n v="419858"/>
    <n v="4.5249779588484654E-2"/>
    <n v="0.84512820099919883"/>
    <n v="498798"/>
    <n v="498798"/>
    <n v="404271"/>
    <n v="404271"/>
    <n v="0.81049041896719709"/>
    <n v="0.81049041896719709"/>
    <s v="PENDIENTE"/>
    <n v="582001"/>
    <n v="582001"/>
    <m/>
    <m/>
    <m/>
    <m/>
    <n v="177730"/>
  </r>
  <r>
    <s v="Hector Flechas"/>
    <x v="0"/>
    <x v="0"/>
    <s v="NO"/>
    <x v="23"/>
    <s v="Gestión"/>
    <s v="Anual"/>
    <s v="Flujo"/>
    <s v="Sedes educativas"/>
    <n v="3869"/>
    <n v="5258"/>
    <n v="3794"/>
    <n v="3832"/>
    <n v="1.0100158144438587"/>
    <n v="3819"/>
    <n v="3819"/>
    <n v="4042"/>
    <n v="4042"/>
    <n v="1.0583922492799163"/>
    <n v="1.0583922492799163"/>
    <n v="3844"/>
    <n v="3844"/>
    <n v="4525"/>
    <n v="4525"/>
    <n v="1.1771592091571279"/>
    <n v="1.1771592091571279"/>
    <s v="PENDIENTE"/>
    <n v="3869"/>
    <n v="3869"/>
    <m/>
    <m/>
    <m/>
    <m/>
    <n v="0"/>
  </r>
  <r>
    <s v="Hector Flechas"/>
    <x v="0"/>
    <x v="0"/>
    <s v="NO"/>
    <x v="24"/>
    <s v="Gestión"/>
    <s v="Anual"/>
    <s v="Reducción"/>
    <s v="Personas"/>
    <n v="553408"/>
    <n v="690512"/>
    <n v="669101"/>
    <n v="670974"/>
    <n v="0.91252160104619118"/>
    <n v="639206"/>
    <n v="639206"/>
    <n v="667431"/>
    <n v="667431"/>
    <n v="0.44986941098507"/>
    <n v="0.16834665655268993"/>
    <n v="603443"/>
    <n v="603443"/>
    <s v="N.D."/>
    <s v="N.D."/>
    <e v="#VALUE!"/>
    <e v="#VALUE!"/>
    <s v="PENDIENTE"/>
    <n v="553408"/>
    <n v="553408"/>
    <m/>
    <m/>
    <n v="5.0364103162562728"/>
    <n v="5.0364103162562728"/>
    <e v="#VALUE!"/>
  </r>
  <r>
    <s v="Hector Flechas"/>
    <x v="0"/>
    <x v="1"/>
    <s v="SI"/>
    <x v="25"/>
    <s v="Producto"/>
    <s v="Trimestral"/>
    <s v="Capacidad"/>
    <s v="Aulas"/>
    <n v="30693"/>
    <n v="0"/>
    <n v="1562"/>
    <n v="1977"/>
    <n v="1.265685019206146"/>
    <n v="2722"/>
    <n v="4284"/>
    <n v="2234"/>
    <n v="4211"/>
    <n v="0.82072005878030863"/>
    <n v="0.98295985060690938"/>
    <n v="8064"/>
    <n v="10298"/>
    <n v="2747"/>
    <n v="6958"/>
    <n v="0.34064980158730157"/>
    <n v="0.67566517770440859"/>
    <s v="Diciembre"/>
    <n v="20395"/>
    <n v="30693"/>
    <n v="589"/>
    <n v="7547"/>
    <n v="2.8879627359646973E-2"/>
    <n v="0.24588668426025478"/>
    <n v="23146"/>
  </r>
  <r>
    <s v="Hector Flechas"/>
    <x v="0"/>
    <x v="0"/>
    <s v="NO"/>
    <x v="26"/>
    <s v="Producto"/>
    <s v="Anual"/>
    <s v="Flujo"/>
    <s v="Tasa"/>
    <n v="0.7107"/>
    <n v="0.61980000000000002"/>
    <n v="0.5766"/>
    <n v="0.58809999999999996"/>
    <n v="1.0199445022545959"/>
    <n v="0.5766"/>
    <n v="0.5766"/>
    <n v="0.5706"/>
    <n v="0.5706"/>
    <n v="0.98959417273673256"/>
    <n v="0.98959417273673256"/>
    <n v="0.57720000000000005"/>
    <n v="0.57720000000000005"/>
    <n v="0.55569999999999997"/>
    <n v="0.55569999999999997"/>
    <n v="0.96275121275121267"/>
    <n v="0.96275121275121267"/>
    <s v="PENDIENTE"/>
    <n v="0.57789999999999997"/>
    <n v="0.57789999999999997"/>
    <m/>
    <m/>
    <m/>
    <m/>
    <n v="0.7107"/>
  </r>
  <r>
    <s v="Carlos Carreño"/>
    <x v="0"/>
    <x v="4"/>
    <s v="SI"/>
    <x v="27"/>
    <s v="Resultado"/>
    <s v="Semestral"/>
    <s v="Capacidad"/>
    <s v="Porcentaje"/>
    <n v="0.45"/>
    <n v="0.33300000000000002"/>
    <n v="0.34899999999999998"/>
    <n v="0.34"/>
    <n v="0.97421203438395432"/>
    <n v="0.36899999999999999"/>
    <n v="0.36899999999999999"/>
    <n v="0.41399999999999998"/>
    <n v="0.41399999999999998"/>
    <n v="1.121951219512195"/>
    <n v="1.121951219512195"/>
    <n v="0.42099999999999999"/>
    <n v="0.42099999999999999"/>
    <n v="0.45400000000000001"/>
    <n v="0.45400000000000001"/>
    <n v="1.0783847980997625"/>
    <n v="1.0783847980997625"/>
    <m/>
    <n v="0.45"/>
    <n v="0.45"/>
    <n v="0"/>
    <n v="0.45400000000000001"/>
    <n v="0"/>
    <n v="1.0088888888888889"/>
    <n v="-4.0000000000000036E-3"/>
  </r>
  <r>
    <s v="Carlos Carreño"/>
    <x v="0"/>
    <x v="4"/>
    <s v="SI"/>
    <x v="28"/>
    <s v="Gestión"/>
    <s v="Anual"/>
    <s v="Capacidad"/>
    <s v="Porcentaje"/>
    <n v="0.12"/>
    <n v="0"/>
    <n v="0.03"/>
    <n v="2.9499999999999998E-2"/>
    <n v="0.98333333333333328"/>
    <n v="0.06"/>
    <n v="0.06"/>
    <n v="6.25E-2"/>
    <n v="6.25E-2"/>
    <n v="1.0416666666666667"/>
    <n v="1.0416666666666667"/>
    <n v="0.09"/>
    <n v="0.09"/>
    <s v="N.D."/>
    <s v="N.D."/>
    <e v="#VALUE!"/>
    <e v="#VALUE!"/>
    <s v="PENDIENTE"/>
    <n v="0.12"/>
    <n v="0.12"/>
    <n v="6.25E-2"/>
    <n v="6.25E-2"/>
    <m/>
    <m/>
    <e v="#VALUE!"/>
  </r>
  <r>
    <s v="Carlos Carreño"/>
    <x v="0"/>
    <x v="5"/>
    <s v="NO"/>
    <x v="29"/>
    <s v="Resultado"/>
    <s v="Anual"/>
    <s v="Capacidad"/>
    <s v="Porcentaje"/>
    <n v="0.08"/>
    <n v="2.2599999999999999E-2"/>
    <n v="0.03"/>
    <n v="3.2000000000000001E-2"/>
    <n v="1.0666666666666667"/>
    <n v="0.04"/>
    <n v="0.04"/>
    <n v="2.4E-2"/>
    <n v="5.6000000000000001E-2"/>
    <n v="0.6"/>
    <n v="1.4"/>
    <n v="0.06"/>
    <n v="0.06"/>
    <n v="4.7500000000000001E-2"/>
    <n v="4.7500000000000001E-2"/>
    <n v="0.79166666666666674"/>
    <n v="0.79166666666666674"/>
    <s v="Diciembre (preliminar)"/>
    <n v="0.08"/>
    <n v="0.08"/>
    <m/>
    <m/>
    <m/>
    <m/>
    <n v="3.2500000000000001E-2"/>
  </r>
  <r>
    <s v="Carlos Carreño"/>
    <x v="0"/>
    <x v="6"/>
    <s v="SI"/>
    <x v="30"/>
    <s v="Producto"/>
    <s v="Trimestral"/>
    <s v="Capacidad"/>
    <s v="Porcentaje"/>
    <n v="0.2"/>
    <n v="0"/>
    <n v="0.04"/>
    <n v="4.6047929010066026E-2"/>
    <n v="1.1511982252516506"/>
    <n v="0.09"/>
    <n v="0.09"/>
    <n v="6.9900000000000004E-2"/>
    <n v="6.9900000000000004E-2"/>
    <n v="0.77666666666666673"/>
    <n v="0.77666666666666673"/>
    <n v="0.13"/>
    <n v="0.13"/>
    <n v="0.10009999999999999"/>
    <n v="0.10009999999999999"/>
    <n v="0.76999999999999991"/>
    <n v="0.76999999999999991"/>
    <s v="Diciembre"/>
    <n v="0.2"/>
    <n v="0.2"/>
    <n v="0.1077"/>
    <n v="0.1077"/>
    <n v="0.53849999999999998"/>
    <n v="0.53849999999999998"/>
    <n v="9.2300000000000007E-2"/>
  </r>
  <r>
    <s v="Carlos Carreño"/>
    <x v="0"/>
    <x v="7"/>
    <s v="NO"/>
    <x v="31"/>
    <s v="Resultado"/>
    <s v="Anual"/>
    <s v="Capacidad"/>
    <s v="Porcentaje"/>
    <n v="0.309"/>
    <n v="0.27700000000000002"/>
    <n v="0.28499999999999998"/>
    <n v="0.26400000000000001"/>
    <n v="0.92631578947368431"/>
    <n v="0.29299999999999998"/>
    <n v="0.29299999999999998"/>
    <n v="0.35720000000000002"/>
    <n v="0.35720000000000002"/>
    <n v="1.2191126279863482"/>
    <n v="1.2191126279863482"/>
    <n v="0.30099999999999999"/>
    <n v="0.30099999999999999"/>
    <n v="0.32129999999999997"/>
    <n v="0.32129999999999997"/>
    <n v="1.0674418604651161"/>
    <n v="1.0674418604651161"/>
    <s v="PENDIENTE"/>
    <n v="0.309"/>
    <n v="0.309"/>
    <m/>
    <m/>
    <m/>
    <m/>
    <n v="0"/>
  </r>
  <r>
    <s v="Carlos Carreño"/>
    <x v="0"/>
    <x v="7"/>
    <s v="NO"/>
    <x v="32"/>
    <s v="Gestión"/>
    <s v="Anual"/>
    <s v="Capacidad"/>
    <s v="Porcentaje"/>
    <n v="0.29899999999999999"/>
    <n v="0.217"/>
    <n v="0.23799999999999999"/>
    <n v="0.2326"/>
    <n v="0.97731092436974798"/>
    <n v="0.25800000000000001"/>
    <n v="0.25800000000000001"/>
    <n v="0.29870000000000002"/>
    <n v="0.29870000000000002"/>
    <n v="1.1577519379844963"/>
    <n v="1.1577519379844963"/>
    <n v="0.27900000000000003"/>
    <n v="0.27900000000000003"/>
    <n v="0.2084"/>
    <n v="0.2084"/>
    <n v="0.74695340501792107"/>
    <n v="0.74695340501792107"/>
    <s v="PENDIENTE"/>
    <n v="0.29899999999999999"/>
    <n v="0.29899999999999999"/>
    <m/>
    <m/>
    <m/>
    <m/>
    <n v="9.0599999999999986E-2"/>
  </r>
  <r>
    <s v="Carlos Carreño"/>
    <x v="0"/>
    <x v="7"/>
    <s v="SI"/>
    <x v="33"/>
    <s v="Resultado"/>
    <s v="Anual"/>
    <s v="Reducción"/>
    <s v="Razon"/>
    <n v="20"/>
    <n v="27"/>
    <n v="26"/>
    <n v="24"/>
    <n v="3"/>
    <n v="24"/>
    <n v="24"/>
    <n v="26.11"/>
    <n v="26.11"/>
    <n v="0.29666666666666686"/>
    <n v="0.12714285714285722"/>
    <n v="22"/>
    <n v="22"/>
    <n v="22.98"/>
    <n v="22.98"/>
    <n v="0.80399999999999994"/>
    <n v="0.80399999999999994"/>
    <s v="Diciembre (preliminar)"/>
    <n v="20"/>
    <n v="20"/>
    <m/>
    <m/>
    <n v="3.8571428571428572"/>
    <n v="3.8571428571428572"/>
    <n v="20"/>
  </r>
  <r>
    <s v="Carlos Carreño"/>
    <x v="0"/>
    <x v="4"/>
    <s v="NO"/>
    <x v="34"/>
    <s v="Resultado"/>
    <s v="Anual"/>
    <s v="Capacidad"/>
    <s v="Porcentaje"/>
    <n v="0.75"/>
    <n v="0.53100000000000003"/>
    <n v="0.58599999999999997"/>
    <n v="0.52769999999999995"/>
    <n v="0.90051194539249146"/>
    <n v="0.64100000000000001"/>
    <n v="0.64100000000000001"/>
    <n v="4.8800000000000066E-2"/>
    <n v="0.57650000000000001"/>
    <n v="7.6131045241809775E-2"/>
    <n v="0.89937597503900157"/>
    <n v="0.69599999999999995"/>
    <n v="0.69599999999999995"/>
    <n v="0.57699999999999996"/>
    <n v="0.57699999999999996"/>
    <n v="0.82902298850574707"/>
    <n v="0.82902298850574707"/>
    <s v="PENDIENTE"/>
    <n v="0.75"/>
    <n v="0.75"/>
    <m/>
    <m/>
    <m/>
    <m/>
    <n v="0.17300000000000004"/>
  </r>
  <r>
    <s v="Carlos Carreño"/>
    <x v="0"/>
    <x v="4"/>
    <s v="SI"/>
    <x v="35"/>
    <s v="Producto"/>
    <s v="Anual"/>
    <s v="Capacidad"/>
    <s v="Porcentaje"/>
    <s v="38%_x000a_eran 17.000 se ajustó a 8.110"/>
    <n v="0.29399999999999998"/>
    <s v="31,20% _x000a_eran 3.000 se solicitó cambio por 2.890"/>
    <n v="0.32"/>
    <n v="1.0256410256410258"/>
    <s v="33% eran 4.666 se solicitó cambio por 4.220"/>
    <s v="33%_x000a_eran 4.666 se solicitó cambio por 4.220"/>
    <n v="0.40799999999999997"/>
    <n v="0.40799999999999997"/>
    <n v="1.2363636363636363"/>
    <n v="1.2363636363636363"/>
    <s v="36,6%_x000a_500"/>
    <s v="36,60%_x000a_7610"/>
    <s v="42,93%_x000a_7.110"/>
    <s v="42,93%_x000a_7.110"/>
    <n v="1.1729508196721312"/>
    <e v="#VALUE!"/>
    <s v="PENDIENTE"/>
    <s v="38%_x000a_500"/>
    <s v="38%_x000a_8.110"/>
    <n v="0.42930000000000001"/>
    <n v="0.42930000000000001"/>
    <m/>
    <m/>
    <n v="0.38"/>
  </r>
  <r>
    <s v="Carlos Carreño"/>
    <x v="0"/>
    <x v="4"/>
    <s v="NO"/>
    <x v="36"/>
    <s v="Gestión"/>
    <s v="Anual"/>
    <s v="Capacidad"/>
    <s v="Porcentaje"/>
    <n v="0.22"/>
    <n v="0"/>
    <n v="0.05"/>
    <n v="7.0000000000000007E-2"/>
    <n v="1.4000000000000001"/>
    <n v="0.09"/>
    <n v="0.09"/>
    <n v="3.4999999999999989E-2"/>
    <n v="0.105"/>
    <n v="0.38888888888888878"/>
    <n v="1.1666666666666667"/>
    <n v="0.15"/>
    <n v="0.15"/>
    <n v="0.14000000000000001"/>
    <n v="0.14000000000000001"/>
    <n v="0.93333333333333346"/>
    <n v="0.93333333333333346"/>
    <s v="Diciembre"/>
    <n v="0.22"/>
    <n v="0.22"/>
    <m/>
    <m/>
    <m/>
    <m/>
    <n v="7.9999999999999988E-2"/>
  </r>
  <r>
    <s v="Carlos Carreño"/>
    <x v="0"/>
    <x v="4"/>
    <s v="NO"/>
    <x v="37"/>
    <s v="Producto"/>
    <s v="Anual"/>
    <s v="Acumulado"/>
    <s v="Docentes"/>
    <n v="8000"/>
    <n v="5703"/>
    <n v="1000"/>
    <n v="1263"/>
    <n v="1.2629999999999999"/>
    <n v="2335"/>
    <n v="2335"/>
    <n v="3713"/>
    <n v="4976"/>
    <n v="1.5901498929336189"/>
    <n v="2.131049250535332"/>
    <n v="2367"/>
    <n v="2367"/>
    <n v="7017"/>
    <n v="7017"/>
    <n v="2.9645120405576679"/>
    <n v="2.9645120405576679"/>
    <s v="Diciembre (preliminar)"/>
    <n v="2298"/>
    <n v="8000"/>
    <m/>
    <m/>
    <m/>
    <m/>
    <n v="0"/>
  </r>
  <r>
    <s v="Carlos Carreño"/>
    <x v="0"/>
    <x v="4"/>
    <s v="NO"/>
    <x v="38"/>
    <s v="Gestión"/>
    <s v="Anual"/>
    <s v="Flujo"/>
    <s v="Porcentaje"/>
    <n v="0.1196"/>
    <n v="9.4E-2"/>
    <n v="0.10050000000000001"/>
    <n v="9.0999999999999998E-2"/>
    <n v="0.90547263681592027"/>
    <n v="0.1069"/>
    <n v="0.1069"/>
    <n v="9.5000000000000084E-3"/>
    <n v="0.10050000000000001"/>
    <n v="8.8868101028999141E-2"/>
    <n v="0.94013096351730596"/>
    <n v="0.1132"/>
    <n v="0.1132"/>
    <s v="N.D."/>
    <s v="N.D."/>
    <e v="#VALUE!"/>
    <e v="#VALUE!"/>
    <s v="PENDIENTE"/>
    <n v="0.1196"/>
    <n v="0.1196"/>
    <m/>
    <m/>
    <m/>
    <m/>
    <e v="#VALUE!"/>
  </r>
  <r>
    <s v="Carlos Carreño"/>
    <x v="0"/>
    <x v="7"/>
    <s v="SI"/>
    <x v="39"/>
    <s v="Producto"/>
    <s v="Bimestral"/>
    <s v="Capacidad"/>
    <s v="Tutores"/>
    <n v="4350"/>
    <n v="2889"/>
    <n v="3400"/>
    <n v="3842"/>
    <n v="1.1299999999999999"/>
    <n v="3700"/>
    <n v="3700"/>
    <n v="4230"/>
    <n v="4230"/>
    <n v="1.1432432432432433"/>
    <n v="1.1432432432432433"/>
    <n v="4000"/>
    <n v="4000"/>
    <n v="4059"/>
    <n v="4059"/>
    <n v="1.01475"/>
    <n v="1.01475"/>
    <s v="Diciembre"/>
    <n v="4350"/>
    <n v="4350"/>
    <n v="3998"/>
    <n v="3998"/>
    <m/>
    <m/>
    <n v="291"/>
  </r>
  <r>
    <s v="Carlos Carreño"/>
    <x v="0"/>
    <x v="4"/>
    <s v="SI"/>
    <x v="40"/>
    <s v="Resultado"/>
    <s v="Anual"/>
    <s v="Capacidad"/>
    <s v="Índice"/>
    <n v="5.6090000000000001E-2"/>
    <n v="5.0700000000000002E-2"/>
    <n v="5.0709999999999998E-2"/>
    <n v="5.4199999999999998E-2"/>
    <n v="1.0688227174127392"/>
    <n v="5.2449999999999997E-2"/>
    <n v="5.2449999999999997E-2"/>
    <n v="5.6500000000000002E-2"/>
    <n v="5.6500000000000002E-2"/>
    <n v="1.0772163965681603"/>
    <n v="1.0772163965681603"/>
    <n v="5.3999999999999999E-2"/>
    <n v="5.3999999999999999E-2"/>
    <s v="N.D."/>
    <s v="N.D."/>
    <e v="#VALUE!"/>
    <e v="#VALUE!"/>
    <s v="PENDIENTE"/>
    <n v="5.6099999999999997E-2"/>
    <n v="5.6090000000000001E-2"/>
    <n v="0"/>
    <n v="0"/>
    <m/>
    <m/>
    <e v="#VALUE!"/>
  </r>
  <r>
    <s v="Carlos Carreño"/>
    <x v="0"/>
    <x v="4"/>
    <s v="SI"/>
    <x v="41"/>
    <s v="Resultado"/>
    <s v="Anual"/>
    <s v="Capacidad"/>
    <s v="Colegios oficiales"/>
    <n v="2720"/>
    <n v="2012"/>
    <n v="2109"/>
    <n v="2027"/>
    <n v="0.96111901375059272"/>
    <n v="2230"/>
    <n v="2230"/>
    <n v="2477"/>
    <n v="2477"/>
    <n v="1.1107623318385651"/>
    <n v="1.1107623318385651"/>
    <n v="2545"/>
    <n v="2545"/>
    <n v="2808"/>
    <n v="2808"/>
    <n v="1.1033398821218074"/>
    <n v="1.1033398821218074"/>
    <m/>
    <n v="2720"/>
    <n v="2720"/>
    <n v="0"/>
    <n v="2808"/>
    <n v="0"/>
    <n v="1.0323529411764707"/>
    <n v="-88"/>
  </r>
  <r>
    <s v="Carlos Carreño"/>
    <x v="0"/>
    <x v="6"/>
    <s v="SI"/>
    <x v="42"/>
    <s v="Producto"/>
    <s v="Trimestral"/>
    <s v="Capacidad"/>
    <s v="Estudiantes"/>
    <n v="1500000"/>
    <n v="0"/>
    <n v="305516"/>
    <n v="316895"/>
    <n v="1.0372451851948834"/>
    <n v="687411"/>
    <n v="687411"/>
    <n v="512169"/>
    <n v="512169"/>
    <n v="0.745069543548183"/>
    <n v="0.745069543548183"/>
    <n v="1000000"/>
    <n v="1000000"/>
    <n v="730411"/>
    <n v="730411"/>
    <n v="0.73041100000000003"/>
    <n v="0.73041100000000003"/>
    <s v="Diciembre"/>
    <n v="1500000"/>
    <n v="1500000"/>
    <n v="793607"/>
    <n v="793607"/>
    <n v="0.52907133333333334"/>
    <n v="0.52907133333333334"/>
    <n v="706393"/>
  </r>
  <r>
    <s v="Pilar Moreno"/>
    <x v="1"/>
    <x v="8"/>
    <s v="SI"/>
    <x v="43"/>
    <s v="Resultado"/>
    <s v="Anual"/>
    <s v="Capacidad"/>
    <s v="Tasa"/>
    <n v="0.2"/>
    <n v="0.14899999999999999"/>
    <n v="0.16"/>
    <n v="0.157"/>
    <n v="0.98124999999999996"/>
    <n v="0.17299999999999999"/>
    <n v="0.17299999999999999"/>
    <n v="0.16900000000000001"/>
    <n v="0.16900000000000001"/>
    <n v="0.97687861271676313"/>
    <n v="0.97687861271676313"/>
    <n v="0.187"/>
    <n v="0.187"/>
    <s v="N.D."/>
    <s v="N.D."/>
    <e v="#VALUE!"/>
    <e v="#VALUE!"/>
    <s v="PENDIENTE"/>
    <n v="0.2"/>
    <n v="0.2"/>
    <n v="0.16900000000000001"/>
    <n v="0.16900000000000001"/>
    <m/>
    <m/>
    <n v="0.2"/>
  </r>
  <r>
    <s v="Pilar Moreno"/>
    <x v="2"/>
    <x v="9"/>
    <s v="NO"/>
    <x v="44"/>
    <s v="Producto"/>
    <s v="Mensual"/>
    <s v="Capacidad"/>
    <s v="Porcentaje"/>
    <n v="0.9"/>
    <n v="0.68"/>
    <n v="0.7"/>
    <n v="0.74099999999999999"/>
    <n v="1.0585714285714287"/>
    <n v="0.76"/>
    <n v="0.76"/>
    <n v="0.78300000000000003"/>
    <n v="0.78300000000000003"/>
    <n v="1.0302631578947368"/>
    <n v="1.0302631578947368"/>
    <n v="0.83"/>
    <n v="0.83"/>
    <n v="0.62629999999999997"/>
    <n v="0.62629999999999997"/>
    <n v="0.75457831325301206"/>
    <n v="0.75457831325301206"/>
    <s v="Diciembre"/>
    <n v="0.9"/>
    <n v="0.9"/>
    <m/>
    <m/>
    <m/>
    <m/>
    <n v="0.9"/>
  </r>
  <r>
    <s v="Pilar Moreno"/>
    <x v="1"/>
    <x v="10"/>
    <s v="NO"/>
    <x v="45"/>
    <s v="Producto"/>
    <s v="Semestral"/>
    <s v="Capacidad"/>
    <s v="Estudiantes"/>
    <n v="2000"/>
    <n v="117"/>
    <n v="250"/>
    <n v="246"/>
    <n v="0.98399999999999999"/>
    <n v="500"/>
    <n v="500"/>
    <n v="195"/>
    <n v="441"/>
    <n v="0.39"/>
    <n v="0.88200000000000001"/>
    <n v="1000"/>
    <n v="1000"/>
    <n v="621"/>
    <n v="621"/>
    <n v="0.621"/>
    <n v="0.621"/>
    <s v="Junio"/>
    <n v="2000"/>
    <n v="2000"/>
    <m/>
    <m/>
    <m/>
    <m/>
    <n v="1379"/>
  </r>
  <r>
    <s v="Pilar Moreno"/>
    <x v="1"/>
    <x v="11"/>
    <s v="NO"/>
    <x v="46"/>
    <s v="Gestión"/>
    <s v="Trimestral"/>
    <s v="Capacidad"/>
    <s v="Porcentaje"/>
    <n v="0.9"/>
    <n v="0.16500000000000001"/>
    <n v="0.25"/>
    <n v="0.216"/>
    <n v="0.86399999999999999"/>
    <n v="0.4"/>
    <n v="0.4"/>
    <n v="4.5000000000000012E-2"/>
    <n v="0.26100000000000001"/>
    <n v="0.11250000000000003"/>
    <n v="0.65249999999999997"/>
    <n v="0.6"/>
    <n v="0.6"/>
    <n v="0.38"/>
    <n v="0.38"/>
    <n v="0.63333333333333341"/>
    <n v="0.63333333333333341"/>
    <s v="Diciembre"/>
    <n v="0.9"/>
    <n v="0.9"/>
    <m/>
    <m/>
    <m/>
    <m/>
    <n v="0.52"/>
  </r>
  <r>
    <s v="Pilar Moreno"/>
    <x v="1"/>
    <x v="8"/>
    <s v="NO"/>
    <x v="47"/>
    <s v="Resultado"/>
    <s v="Anual"/>
    <s v="Capacidad"/>
    <s v="Porcentaje"/>
    <n v="0.13200000000000001"/>
    <n v="3.4000000000000002E-2"/>
    <n v="0.04"/>
    <n v="4.7E-2"/>
    <n v="1.175"/>
    <n v="0.06"/>
    <n v="0.06"/>
    <n v="0"/>
    <n v="4.7E-2"/>
    <n v="0"/>
    <n v="0.78333333333333333"/>
    <n v="0.09"/>
    <n v="0.09"/>
    <s v="N.D."/>
    <s v="N.D."/>
    <e v="#VALUE!"/>
    <e v="#VALUE!"/>
    <s v="PENDIENTE 2016 Y 2017"/>
    <n v="0.13200000000000001"/>
    <n v="0.13200000000000001"/>
    <m/>
    <m/>
    <m/>
    <m/>
    <e v="#VALUE!"/>
  </r>
  <r>
    <s v="Pilar Moreno"/>
    <x v="1"/>
    <x v="8"/>
    <s v="NO"/>
    <x v="48"/>
    <s v="Resultado"/>
    <s v="Anual"/>
    <s v="Capacidad"/>
    <s v="Porcentaje"/>
    <n v="0.14699999999999999"/>
    <n v="9.2999999999999999E-2"/>
    <n v="0.105"/>
    <n v="0.17"/>
    <n v="1.6190476190476193"/>
    <n v="0.12"/>
    <n v="0.12"/>
    <n v="0"/>
    <n v="0"/>
    <n v="0"/>
    <n v="0"/>
    <n v="0.13"/>
    <n v="0.13"/>
    <s v="N.D."/>
    <s v="N.D."/>
    <e v="#VALUE!"/>
    <e v="#VALUE!"/>
    <s v="PENDIENTE 2016 Y 2017"/>
    <n v="0.14699999999999999"/>
    <n v="0.14699999999999999"/>
    <m/>
    <m/>
    <m/>
    <m/>
    <e v="#VALUE!"/>
  </r>
  <r>
    <s v="Pilar Moreno"/>
    <x v="1"/>
    <x v="8"/>
    <s v="NO"/>
    <x v="49"/>
    <s v="Resultado"/>
    <s v="Anual"/>
    <s v="Capacidad"/>
    <s v="Porcentaje"/>
    <n v="0.15"/>
    <n v="0.1"/>
    <n v="0.112"/>
    <n v="0.1"/>
    <n v="0.8928571428571429"/>
    <n v="0.124"/>
    <n v="0.124"/>
    <n v="9.11E-2"/>
    <n v="9.11E-2"/>
    <n v="0.73467741935483877"/>
    <n v="0.73467741935483877"/>
    <n v="0.13700000000000001"/>
    <n v="0.13700000000000001"/>
    <s v="N.D."/>
    <s v="N.D."/>
    <e v="#VALUE!"/>
    <e v="#VALUE!"/>
    <s v="PENDIENTE"/>
    <n v="0.15"/>
    <n v="0.15"/>
    <m/>
    <m/>
    <m/>
    <m/>
    <n v="0.15"/>
  </r>
  <r>
    <s v="Pilar Moreno"/>
    <x v="1"/>
    <x v="8"/>
    <s v="SI"/>
    <x v="50"/>
    <s v="Gestión"/>
    <s v="Anual"/>
    <s v="Flujo"/>
    <s v="Cupos"/>
    <n v="150000"/>
    <n v="168664"/>
    <n v="36905"/>
    <n v="6230"/>
    <n v="0.16881181411732826"/>
    <n v="73810"/>
    <n v="73810"/>
    <n v="3788"/>
    <n v="10018"/>
    <n v="5.1320959219617941E-2"/>
    <n v="0.13572686627828207"/>
    <n v="110715"/>
    <n v="110715"/>
    <s v="N.D."/>
    <s v="N.D."/>
    <e v="#VALUE!"/>
    <e v="#VALUE!"/>
    <s v="PENDIENTE"/>
    <n v="150000"/>
    <n v="150000"/>
    <m/>
    <m/>
    <m/>
    <m/>
    <e v="#VALUE!"/>
  </r>
  <r>
    <s v="Pilar Moreno"/>
    <x v="1"/>
    <x v="8"/>
    <s v="NO"/>
    <x v="51"/>
    <s v="Resultado"/>
    <s v="Anual"/>
    <s v="Reducción"/>
    <s v="Tasa"/>
    <n v="0.15"/>
    <n v="0.19400000000000001"/>
    <n v="0.183"/>
    <n v="0.183"/>
    <n v="1"/>
    <n v="0.17199999999999999"/>
    <n v="0.17199999999999999"/>
    <n v="0.17100000000000001"/>
    <n v="0.17100000000000001"/>
    <n v="1.0454545454545443"/>
    <n v="0.52272727272727237"/>
    <n v="0.161"/>
    <n v="0.161"/>
    <s v="N.D."/>
    <s v="N.D."/>
    <e v="#VALUE!"/>
    <e v="#VALUE!"/>
    <s v="PENDIENTE"/>
    <n v="0.15"/>
    <n v="0.15"/>
    <m/>
    <m/>
    <n v="4.4090909090909083"/>
    <n v="4.4090909090909083"/>
    <e v="#VALUE!"/>
  </r>
  <r>
    <s v="Pilar Moreno"/>
    <x v="1"/>
    <x v="8"/>
    <s v="NO"/>
    <x v="52"/>
    <s v="Resultado"/>
    <s v="Anual"/>
    <s v="Capacidad"/>
    <s v="Tasa"/>
    <n v="0.56999999999999995"/>
    <n v="0.47799999999999998"/>
    <n v="0.48899999999999999"/>
    <n v="0.49399999999999999"/>
    <n v="1.0102249488752557"/>
    <n v="0.51600000000000001"/>
    <n v="0.51600000000000001"/>
    <n v="0.51500000000000001"/>
    <n v="0.51500000000000001"/>
    <n v="0.99806201550387597"/>
    <n v="0.99806201550387597"/>
    <n v="0.54300000000000004"/>
    <n v="0.54300000000000004"/>
    <s v="N.D."/>
    <s v="N.D."/>
    <e v="#VALUE!"/>
    <e v="#VALUE!"/>
    <s v="PENDIENTE"/>
    <n v="0.56999999999999995"/>
    <n v="0.56999999999999995"/>
    <m/>
    <m/>
    <m/>
    <m/>
    <e v="#VALUE!"/>
  </r>
  <r>
    <s v="Pilar Moreno"/>
    <x v="1"/>
    <x v="8"/>
    <s v="NO"/>
    <x v="53"/>
    <s v="Gestión"/>
    <s v="Anual"/>
    <s v="Flujo"/>
    <s v="Cupos"/>
    <n v="400000"/>
    <n v="546631"/>
    <n v="92888"/>
    <n v="72898"/>
    <n v="0.78479459133580221"/>
    <n v="185776"/>
    <n v="185776"/>
    <n v="100884"/>
    <n v="173782"/>
    <n v="0.5430410817328396"/>
    <n v="0.93543837740074065"/>
    <n v="278664"/>
    <n v="278664"/>
    <s v="N.D."/>
    <s v="N.D."/>
    <e v="#VALUE!"/>
    <e v="#VALUE!"/>
    <s v="PENDIENTE"/>
    <n v="400000"/>
    <n v="400000"/>
    <m/>
    <m/>
    <m/>
    <m/>
    <e v="#VALUE!"/>
  </r>
  <r>
    <s v="Pilar Moreno"/>
    <x v="1"/>
    <x v="8"/>
    <s v="SI"/>
    <x v="54"/>
    <s v="Resultado"/>
    <s v="Anual"/>
    <s v="Capacidad"/>
    <s v="Departamentos"/>
    <n v="33"/>
    <n v="25"/>
    <n v="27"/>
    <n v="26"/>
    <n v="0.96296296296296291"/>
    <n v="29"/>
    <n v="29"/>
    <n v="-1"/>
    <n v="25"/>
    <n v="-3.4482758620689655E-2"/>
    <n v="0.86206896551724133"/>
    <n v="31"/>
    <n v="31"/>
    <s v="N.D."/>
    <s v="N.D."/>
    <e v="#VALUE!"/>
    <e v="#VALUE!"/>
    <s v="PENDIENTE"/>
    <n v="33"/>
    <n v="33"/>
    <m/>
    <m/>
    <m/>
    <m/>
    <e v="#VALUE!"/>
  </r>
  <r>
    <s v="Pilar Moreno"/>
    <x v="1"/>
    <x v="8"/>
    <s v="NO"/>
    <x v="55"/>
    <s v="Resultado"/>
    <s v="Anual"/>
    <s v="Reducción"/>
    <s v="Tasa"/>
    <n v="0.08"/>
    <n v="0.10100000000000001"/>
    <n v="9.7000000000000003E-2"/>
    <n v="9.2999999999999999E-2"/>
    <n v="2"/>
    <n v="9.0999999999999998E-2"/>
    <n v="9.0999999999999998E-2"/>
    <n v="9.2999999999999999E-2"/>
    <n v="9.2999999999999999E-2"/>
    <n v="0.8"/>
    <n v="0.38095238095238121"/>
    <n v="8.5999999999999993E-2"/>
    <n v="8.5999999999999993E-2"/>
    <s v="N.D."/>
    <s v="N.D."/>
    <e v="#VALUE!"/>
    <e v="#VALUE!"/>
    <s v="PENDIENTE"/>
    <n v="0.08"/>
    <n v="0.08"/>
    <m/>
    <m/>
    <n v="4.8095238095238084"/>
    <n v="4.8095238095238084"/>
    <e v="#VALUE!"/>
  </r>
  <r>
    <s v="Pilar Moreno"/>
    <x v="1"/>
    <x v="12"/>
    <s v="SI"/>
    <x v="56"/>
    <s v="Producto"/>
    <s v="Semestral"/>
    <s v="Acumulado"/>
    <s v="Estudiantes"/>
    <n v="125000"/>
    <n v="23067"/>
    <n v="18347"/>
    <n v="20313"/>
    <n v="1.1071564833487764"/>
    <n v="34287"/>
    <n v="52634"/>
    <n v="22252"/>
    <n v="42565"/>
    <n v="0.64899232945431218"/>
    <n v="0.80869779990120449"/>
    <n v="36183"/>
    <n v="88817"/>
    <n v="23777"/>
    <n v="66342"/>
    <n v="0.6571318022275654"/>
    <n v="0.74695159710415804"/>
    <s v="Diciembre"/>
    <n v="36183"/>
    <n v="125000"/>
    <n v="10112"/>
    <n v="76454"/>
    <n v="0.27946825857446866"/>
    <n v="0.61163199999999995"/>
    <n v="58658"/>
  </r>
  <r>
    <s v="Pilar Moreno"/>
    <x v="1"/>
    <x v="12"/>
    <s v="NO"/>
    <x v="57"/>
    <s v="Gestión"/>
    <s v="Semestral"/>
    <s v="Flujo"/>
    <s v="Porcentaje"/>
    <n v="0.6"/>
    <n v="0.39"/>
    <n v="0.45"/>
    <n v="0.91600000000000004"/>
    <n v="2.0355555555555558"/>
    <n v="0.5"/>
    <n v="0.5"/>
    <n v="0.43740000000000001"/>
    <n v="0.4374377507754475"/>
    <n v="0.87480000000000002"/>
    <n v="0.874875501550895"/>
    <n v="0.55000000000000004"/>
    <n v="0.55000000000000004"/>
    <n v="0.40200000000000002"/>
    <n v="0.40200000000000002"/>
    <n v="0.73090909090909084"/>
    <n v="0.73090909090909084"/>
    <s v="Diciembre"/>
    <n v="0.6"/>
    <n v="0.6"/>
    <m/>
    <m/>
    <m/>
    <m/>
    <n v="0.6"/>
  </r>
  <r>
    <s v="Pilar Moreno"/>
    <x v="1"/>
    <x v="8"/>
    <s v="NO"/>
    <x v="58"/>
    <s v="Producto"/>
    <s v="Anual"/>
    <s v="Capacidad"/>
    <s v="Docentes"/>
    <n v="10000"/>
    <n v="8893"/>
    <n v="8180"/>
    <n v="9477"/>
    <n v="1.158557457212714"/>
    <n v="8790"/>
    <n v="8790"/>
    <n v="10843"/>
    <n v="10843"/>
    <n v="1.2335608646188851"/>
    <n v="1.2335608646188851"/>
    <n v="9400"/>
    <n v="9400"/>
    <s v="N.D."/>
    <s v="N.D."/>
    <e v="#VALUE!"/>
    <e v="#VALUE!"/>
    <s v="PENDIENTE"/>
    <n v="10000"/>
    <n v="10000"/>
    <m/>
    <m/>
    <m/>
    <m/>
    <e v="#VALUE!"/>
  </r>
  <r>
    <s v="Pilar Moreno"/>
    <x v="1"/>
    <x v="8"/>
    <s v="NO"/>
    <x v="59"/>
    <s v="Producto"/>
    <s v="Anual"/>
    <s v="Capacidad"/>
    <s v="Puestos"/>
    <n v="25"/>
    <n v="0"/>
    <n v="4"/>
    <n v="12"/>
    <n v="3"/>
    <n v="12"/>
    <n v="12"/>
    <n v="24"/>
    <n v="24"/>
    <n v="2"/>
    <n v="2"/>
    <n v="20"/>
    <n v="20"/>
    <s v="N.D."/>
    <s v="N.D."/>
    <e v="#VALUE!"/>
    <e v="#VALUE!"/>
    <s v="PENDIENTE"/>
    <n v="25"/>
    <n v="25"/>
    <m/>
    <m/>
    <m/>
    <m/>
    <e v="#VALUE!"/>
  </r>
  <r>
    <s v="Pilar Moreno"/>
    <x v="1"/>
    <x v="8"/>
    <s v="NO"/>
    <x v="60"/>
    <s v="Gestión"/>
    <s v="Anual"/>
    <s v="Flujo"/>
    <s v="Graduados"/>
    <n v="40000"/>
    <n v="82723"/>
    <n v="8000"/>
    <n v="28058"/>
    <n v="3.50725"/>
    <n v="17500"/>
    <n v="17500"/>
    <n v="55022"/>
    <n v="55022"/>
    <n v="3.1441142857142856"/>
    <n v="3.1441142857142856"/>
    <n v="28500"/>
    <n v="28500"/>
    <s v="N.D."/>
    <s v="N.D."/>
    <e v="#VALUE!"/>
    <e v="#VALUE!"/>
    <s v="PENDIENTE"/>
    <n v="40000"/>
    <n v="40000"/>
    <m/>
    <m/>
    <m/>
    <m/>
    <n v="0"/>
  </r>
  <r>
    <s v="Pilar Moreno"/>
    <x v="1"/>
    <x v="8"/>
    <s v="NO"/>
    <x v="61"/>
    <s v="Gestión"/>
    <s v="Anual"/>
    <s v="Flujo"/>
    <s v="Cupos"/>
    <n v="7000"/>
    <n v="14623"/>
    <n v="1000"/>
    <n v="4633"/>
    <n v="4.633"/>
    <n v="3000"/>
    <n v="3000"/>
    <n v="5117"/>
    <n v="5117"/>
    <n v="1.7056666666666667"/>
    <n v="1.7056666666666667"/>
    <n v="5000"/>
    <n v="5000"/>
    <s v="N.D."/>
    <s v="N.D."/>
    <e v="#VALUE!"/>
    <e v="#VALUE!"/>
    <s v="PENDIENTE"/>
    <n v="7000"/>
    <n v="7000"/>
    <m/>
    <m/>
    <m/>
    <m/>
    <e v="#VALUE!"/>
  </r>
  <r>
    <s v="Pilar Moreno"/>
    <x v="1"/>
    <x v="8"/>
    <s v="NO"/>
    <x v="62"/>
    <s v="Resultado"/>
    <s v="Anual"/>
    <s v="Capacidad"/>
    <s v="Graduados"/>
    <n v="2000"/>
    <n v="2709"/>
    <n v="3227"/>
    <n v="3321"/>
    <n v="1.0291292221877906"/>
    <n v="3486"/>
    <n v="3486"/>
    <n v="4215"/>
    <n v="7536"/>
    <n v="1.2091222030981068"/>
    <n v="2.1617900172117039"/>
    <n v="3745"/>
    <n v="3745"/>
    <s v="N.D."/>
    <s v="N.D."/>
    <e v="#VALUE!"/>
    <e v="#VALUE!"/>
    <s v="PENDIENTE"/>
    <n v="4004"/>
    <n v="2000"/>
    <m/>
    <m/>
    <m/>
    <m/>
    <n v="0"/>
  </r>
  <r>
    <s v="Pilar Moreno"/>
    <x v="1"/>
    <x v="8"/>
    <s v="SI"/>
    <x v="63"/>
    <s v="Producto"/>
    <s v="Anual"/>
    <s v="Acumulado"/>
    <s v="Estudiantes"/>
    <n v="40000"/>
    <n v="0"/>
    <n v="10000"/>
    <n v="10141"/>
    <n v="1.0141"/>
    <n v="10000"/>
    <n v="20000"/>
    <n v="12730"/>
    <n v="22871"/>
    <n v="1.2729999999999999"/>
    <n v="1.1435500000000001"/>
    <n v="10000"/>
    <n v="30000"/>
    <n v="31977"/>
    <n v="31977"/>
    <n v="3.1977000000000002"/>
    <n v="1.0659000000000001"/>
    <s v="Diciembre"/>
    <n v="10000"/>
    <n v="40000"/>
    <n v="7999"/>
    <n v="39976"/>
    <n v="0.79990000000000006"/>
    <n v="0.99939999999999996"/>
    <n v="24"/>
  </r>
  <r>
    <s v="Pilar Moreno"/>
    <x v="1"/>
    <x v="8"/>
    <s v="SI"/>
    <x v="64"/>
    <s v="Resultado"/>
    <s v="Anual"/>
    <s v="Stock"/>
    <s v="Tasa"/>
    <n v="0.05"/>
    <n v="0"/>
    <n v="0.05"/>
    <n v="1.9E-2"/>
    <m/>
    <n v="0.05"/>
    <n v="0.05"/>
    <n v="1.6999999999999999E-3"/>
    <n v="1.6999999999999999E-3"/>
    <n v="3.3999999999999996E-2"/>
    <n v="3.3999999999999996E-2"/>
    <n v="0.05"/>
    <n v="0.05"/>
    <s v="N.D."/>
    <s v="N.D."/>
    <e v="#VALUE!"/>
    <e v="#VALUE!"/>
    <s v="PENDIENTE"/>
    <n v="0.05"/>
    <n v="0.05"/>
    <m/>
    <m/>
    <m/>
    <m/>
    <e v="#VALUE!"/>
  </r>
  <r>
    <s v="Pilar Moreno"/>
    <x v="1"/>
    <x v="8"/>
    <s v="NO"/>
    <x v="65"/>
    <s v="Producto"/>
    <s v="Anual"/>
    <s v="Acumulado"/>
    <s v="Cupos"/>
    <n v="20"/>
    <n v="0"/>
    <n v="2"/>
    <n v="0"/>
    <n v="0"/>
    <n v="4"/>
    <n v="6"/>
    <n v="0"/>
    <n v="0"/>
    <n v="0"/>
    <n v="0"/>
    <n v="6"/>
    <n v="6"/>
    <s v="N.D."/>
    <s v="N.D."/>
    <e v="#VALUE!"/>
    <e v="#VALUE!"/>
    <s v="PENDIENTE"/>
    <n v="8"/>
    <n v="20"/>
    <m/>
    <m/>
    <m/>
    <m/>
    <e v="#VALUE!"/>
  </r>
  <r>
    <s v="Hector Flechas"/>
    <x v="0"/>
    <x v="13"/>
    <s v="NO"/>
    <x v="66"/>
    <s v="Gestión"/>
    <s v="Anual"/>
    <s v="Capacidad"/>
    <s v="Porcentaje"/>
    <n v="1"/>
    <n v="0"/>
    <n v="0"/>
    <n v="0"/>
    <s v="N/A"/>
    <n v="0.35"/>
    <n v="0.35"/>
    <n v="0.54500000000000004"/>
    <n v="0.54500000000000004"/>
    <n v="1.5571428571428574"/>
    <n v="1.5571428571428574"/>
    <n v="0.7"/>
    <n v="0.7"/>
    <n v="0.6"/>
    <n v="0.6"/>
    <n v="0.85714285714285721"/>
    <n v="0.85714285714285721"/>
    <s v="Diciembre"/>
    <n v="1"/>
    <n v="1"/>
    <m/>
    <m/>
    <m/>
    <m/>
    <n v="0.4"/>
  </r>
  <r>
    <s v="Hector Flechas"/>
    <x v="0"/>
    <x v="13"/>
    <s v="NO"/>
    <x v="67"/>
    <s v="Gestión"/>
    <s v="Anual"/>
    <s v="Capacidad"/>
    <s v="Porcentaje"/>
    <n v="1"/>
    <n v="0"/>
    <n v="0.05"/>
    <n v="0.05"/>
    <n v="1"/>
    <n v="0.3"/>
    <n v="0.3"/>
    <n v="9.9999999999999992E-2"/>
    <n v="0.15"/>
    <n v="0.33333333333333331"/>
    <n v="0.5"/>
    <n v="0.5"/>
    <n v="0.5"/>
    <n v="0.2"/>
    <n v="0.2"/>
    <n v="0.4"/>
    <n v="0.4"/>
    <s v="Diciembre"/>
    <n v="1"/>
    <n v="1"/>
    <m/>
    <m/>
    <m/>
    <m/>
    <n v="0.8"/>
  </r>
  <r>
    <s v="Pilar Moreno"/>
    <x v="1"/>
    <x v="8"/>
    <s v="NO"/>
    <x v="68"/>
    <s v="Producto"/>
    <s v="Anual"/>
    <s v="Acumulado"/>
    <s v="Estudiantes indígenas"/>
    <n v="8000"/>
    <n v="1300"/>
    <n v="1500"/>
    <n v="0"/>
    <n v="0"/>
    <n v="2000"/>
    <n v="3500"/>
    <n v="1500"/>
    <n v="1500"/>
    <n v="0.75"/>
    <n v="0.42857142857142855"/>
    <n v="2000"/>
    <n v="2000"/>
    <s v="N.D."/>
    <s v="N.D."/>
    <e v="#VALUE!"/>
    <e v="#VALUE!"/>
    <s v="PENDIENTE"/>
    <n v="2500"/>
    <n v="8000"/>
    <m/>
    <m/>
    <m/>
    <m/>
    <e v="#VALUE!"/>
  </r>
  <r>
    <s v="Hector Flechas"/>
    <x v="0"/>
    <x v="14"/>
    <s v="NO"/>
    <x v="69"/>
    <s v="Producto"/>
    <s v="Anual"/>
    <s v="Acumulado"/>
    <s v="Personas"/>
    <n v="46000"/>
    <n v="43429"/>
    <n v="1000"/>
    <n v="2458"/>
    <n v="2.4580000000000002"/>
    <n v="15000"/>
    <n v="16000"/>
    <n v="967"/>
    <n v="3425"/>
    <n v="6.4466666666666672E-2"/>
    <n v="0.21406249999999999"/>
    <n v="15000"/>
    <n v="31000"/>
    <n v="1210"/>
    <n v="4635"/>
    <n v="8.0666666666666664E-2"/>
    <n v="0.14951612903225805"/>
    <s v="Diciembre"/>
    <n v="15000"/>
    <n v="46000"/>
    <m/>
    <m/>
    <m/>
    <m/>
    <n v="41365"/>
  </r>
  <r>
    <s v="Hector Flechas"/>
    <x v="0"/>
    <x v="14"/>
    <s v="NO"/>
    <x v="70"/>
    <s v="Meta Intermedia"/>
    <s v="Trimestral"/>
    <s v="Stock"/>
    <s v="Porcentaje"/>
    <n v="0.85"/>
    <s v="SIN DATO"/>
    <n v="1"/>
    <n v="0"/>
    <n v="0"/>
    <n v="1"/>
    <n v="1"/>
    <n v="0.04"/>
    <n v="0.04"/>
    <n v="0.04"/>
    <n v="0.04"/>
    <n v="0.8"/>
    <n v="0.8"/>
    <n v="0.73399999999999999"/>
    <n v="0.73399999999999999"/>
    <n v="0.91749999999999998"/>
    <n v="0.91749999999999998"/>
    <s v="Diciembre"/>
    <n v="0.85"/>
    <n v="0.85"/>
    <m/>
    <m/>
    <m/>
    <m/>
    <n v="0.85"/>
  </r>
  <r>
    <s v="Hector Flechas"/>
    <x v="0"/>
    <x v="14"/>
    <s v="NO"/>
    <x v="71"/>
    <s v="Meta Intermedia"/>
    <s v="Trimestral"/>
    <s v="Stock"/>
    <s v="Porcentaje"/>
    <n v="1"/>
    <s v="SIN DATO"/>
    <n v="1"/>
    <n v="0"/>
    <n v="0"/>
    <n v="1"/>
    <n v="1"/>
    <n v="7.0000000000000007E-2"/>
    <n v="7.0000000000000007E-2"/>
    <n v="7.0000000000000007E-2"/>
    <n v="7.0000000000000007E-2"/>
    <n v="1"/>
    <n v="1"/>
    <n v="0.04"/>
    <n v="0.04"/>
    <n v="0.04"/>
    <n v="0.04"/>
    <s v="Diciembre"/>
    <n v="1"/>
    <n v="1"/>
    <m/>
    <m/>
    <m/>
    <m/>
    <n v="1"/>
  </r>
  <r>
    <s v="Hector Flechas"/>
    <x v="0"/>
    <x v="14"/>
    <s v="NO"/>
    <x v="72"/>
    <s v="Meta Intermedia"/>
    <s v="Semestral"/>
    <s v="Stock"/>
    <s v="Porcentaje"/>
    <n v="1"/>
    <s v="SIN DATO"/>
    <n v="1"/>
    <n v="0.23"/>
    <n v="0.23"/>
    <n v="1"/>
    <n v="1"/>
    <n v="0.24"/>
    <n v="0.24"/>
    <n v="0.24"/>
    <n v="0.24"/>
    <n v="1"/>
    <n v="1"/>
    <s v="N.D."/>
    <s v="N.D."/>
    <e v="#VALUE!"/>
    <e v="#VALUE!"/>
    <s v="PENDIENTE"/>
    <n v="1"/>
    <n v="1"/>
    <m/>
    <m/>
    <m/>
    <m/>
    <e v="#VALUE!"/>
  </r>
  <r>
    <s v="Carlos Carreño"/>
    <x v="0"/>
    <x v="15"/>
    <s v="NO"/>
    <x v="73"/>
    <s v="Producto"/>
    <s v="Trimestral"/>
    <s v="Capacidad"/>
    <s v="Secretarias de Educación "/>
    <n v="95"/>
    <n v="94"/>
    <n v="12"/>
    <n v="12"/>
    <n v="1"/>
    <n v="95"/>
    <n v="95"/>
    <n v="76"/>
    <n v="88"/>
    <n v="0.8"/>
    <n v="0.9263157894736842"/>
    <n v="95"/>
    <n v="95"/>
    <n v="73"/>
    <n v="73"/>
    <n v="0.76842105263157889"/>
    <n v="0.76842105263157889"/>
    <s v="Diciembre"/>
    <n v="95"/>
    <n v="95"/>
    <m/>
    <m/>
    <m/>
    <m/>
    <n v="22"/>
  </r>
  <r>
    <s v="Carlos Carreño"/>
    <x v="0"/>
    <x v="15"/>
    <s v="NO"/>
    <x v="74"/>
    <s v="Producto"/>
    <s v="Trimestral"/>
    <s v="Capacidad"/>
    <s v="Porcentaje"/>
    <n v="0.5"/>
    <s v="SIN DATO"/>
    <n v="0"/>
    <n v="0"/>
    <n v="0"/>
    <n v="0.2"/>
    <n v="0.2"/>
    <n v="0.03"/>
    <n v="0.03"/>
    <n v="0.15"/>
    <n v="0.15"/>
    <n v="0.3"/>
    <n v="0.3"/>
    <n v="0.18"/>
    <n v="0.18"/>
    <n v="0.6"/>
    <n v="0.6"/>
    <s v="Diciembre"/>
    <n v="0.5"/>
    <n v="0.5"/>
    <m/>
    <m/>
    <m/>
    <m/>
    <n v="0.32"/>
  </r>
  <r>
    <s v="Carlos Carreño"/>
    <x v="0"/>
    <x v="15"/>
    <s v="NO"/>
    <x v="75"/>
    <s v="Producto"/>
    <s v="Semestral"/>
    <s v="Capacidad"/>
    <s v="Municipios"/>
    <n v="282"/>
    <s v="SIN DATO"/>
    <n v="103"/>
    <n v="121"/>
    <n v="1.174757281553398"/>
    <n v="163"/>
    <n v="163"/>
    <n v="99"/>
    <n v="220"/>
    <n v="0.6073619631901841"/>
    <n v="1.3496932515337423"/>
    <n v="223"/>
    <n v="223"/>
    <s v="N.D."/>
    <s v="N.D."/>
    <e v="#VALUE!"/>
    <e v="#VALUE!"/>
    <s v="PENDIENTE"/>
    <n v="282"/>
    <n v="282"/>
    <m/>
    <m/>
    <m/>
    <m/>
    <e v="#VALUE!"/>
  </r>
  <r>
    <s v="Hector Flechas"/>
    <x v="0"/>
    <x v="3"/>
    <s v="NO"/>
    <x v="76"/>
    <s v="Producto"/>
    <s v="Anual"/>
    <s v="Acumulado"/>
    <s v="Porcentaje"/>
    <n v="1"/>
    <s v="SIN DATO"/>
    <n v="0"/>
    <n v="0"/>
    <s v="N/A"/>
    <n v="0.5"/>
    <n v="0.5"/>
    <n v="0.5"/>
    <n v="0.5"/>
    <n v="1"/>
    <n v="1"/>
    <n v="0.5"/>
    <n v="0.5"/>
    <n v="0.9"/>
    <n v="0.9"/>
    <n v="1.8"/>
    <n v="1.8"/>
    <s v="Diciembre"/>
    <n v="0"/>
    <n v="1"/>
    <m/>
    <m/>
    <m/>
    <m/>
    <n v="9.9999999999999978E-2"/>
  </r>
  <r>
    <s v="Carlos Carreño"/>
    <x v="0"/>
    <x v="3"/>
    <s v="NO"/>
    <x v="77"/>
    <s v="Producto"/>
    <s v="Semestral"/>
    <s v="Capacidad"/>
    <s v="Porcentaje"/>
    <n v="0.84"/>
    <n v="0.72"/>
    <n v="0.78"/>
    <n v="0.77249999999999996"/>
    <n v="0.99038461538461531"/>
    <n v="0.79"/>
    <n v="0.79"/>
    <n v="0.82909999999999995"/>
    <n v="0.82909999999999995"/>
    <n v="1.0494936708860758"/>
    <n v="1.0494936708860758"/>
    <n v="0.81"/>
    <n v="0.81"/>
    <s v="N.D."/>
    <s v="N.D."/>
    <e v="#VALUE!"/>
    <e v="#VALUE!"/>
    <s v="PENDIENTE"/>
    <n v="0.84"/>
    <n v="0.84"/>
    <m/>
    <m/>
    <m/>
    <m/>
    <e v="#VALU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2"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B23" firstHeaderRow="1" firstDataRow="1" firstDataCol="1"/>
  <pivotFields count="34">
    <pivotField showAll="0"/>
    <pivotField axis="axisRow" showAll="0">
      <items count="4">
        <item x="0"/>
        <item x="1"/>
        <item x="2"/>
        <item t="default"/>
      </items>
    </pivotField>
    <pivotField axis="axisRow" showAll="0">
      <items count="17">
        <item x="13"/>
        <item x="4"/>
        <item x="7"/>
        <item x="6"/>
        <item x="5"/>
        <item x="11"/>
        <item x="0"/>
        <item x="8"/>
        <item x="10"/>
        <item x="2"/>
        <item x="14"/>
        <item x="9"/>
        <item x="1"/>
        <item x="15"/>
        <item x="3"/>
        <item x="1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s>
  <rowFields count="2">
    <field x="1"/>
    <field x="2"/>
  </rowFields>
  <rowItems count="20">
    <i>
      <x/>
    </i>
    <i r="1">
      <x/>
    </i>
    <i r="1">
      <x v="1"/>
    </i>
    <i r="1">
      <x v="2"/>
    </i>
    <i r="1">
      <x v="3"/>
    </i>
    <i r="1">
      <x v="4"/>
    </i>
    <i r="1">
      <x v="6"/>
    </i>
    <i r="1">
      <x v="9"/>
    </i>
    <i r="1">
      <x v="10"/>
    </i>
    <i r="1">
      <x v="12"/>
    </i>
    <i r="1">
      <x v="13"/>
    </i>
    <i r="1">
      <x v="14"/>
    </i>
    <i>
      <x v="1"/>
    </i>
    <i r="1">
      <x v="5"/>
    </i>
    <i r="1">
      <x v="7"/>
    </i>
    <i r="1">
      <x v="8"/>
    </i>
    <i r="1">
      <x v="15"/>
    </i>
    <i>
      <x v="2"/>
    </i>
    <i r="1">
      <x v="11"/>
    </i>
    <i t="grand">
      <x/>
    </i>
  </rowItems>
  <colItems count="1">
    <i/>
  </colItems>
  <dataFields count="1">
    <dataField name="Cuenta de Nombre del Indicador" fld="4" subtotal="count" baseField="0" baseItem="0"/>
  </dataFields>
  <formats count="4">
    <format dxfId="220">
      <pivotArea dataOnly="0" labelOnly="1" fieldPosition="0">
        <references count="1">
          <reference field="1" count="1">
            <x v="1"/>
          </reference>
        </references>
      </pivotArea>
    </format>
    <format dxfId="219">
      <pivotArea dataOnly="0" labelOnly="1" fieldPosition="0">
        <references count="2">
          <reference field="1" count="1" selected="0">
            <x v="0"/>
          </reference>
          <reference field="2" count="0"/>
        </references>
      </pivotArea>
    </format>
    <format dxfId="218">
      <pivotArea collapsedLevelsAreSubtotals="1" fieldPosition="0">
        <references count="2">
          <reference field="1" count="1" selected="0">
            <x v="0"/>
          </reference>
          <reference field="2" count="1">
            <x v="9"/>
          </reference>
        </references>
      </pivotArea>
    </format>
    <format dxfId="217">
      <pivotArea collapsedLevelsAreSubtotals="1" fieldPosition="0">
        <references count="2">
          <reference field="1" count="1" selected="0">
            <x v="0"/>
          </reference>
          <reference field="2"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1000000}" name="Tabla dinámica3"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27:C51" firstHeaderRow="1" firstDataRow="1" firstDataCol="2" rowPageCount="1" colPageCount="1"/>
  <pivotFields count="34">
    <pivotField showAll="0"/>
    <pivotField axis="axisPage" outline="0" showAll="0" defaultSubtotal="0">
      <items count="3">
        <item x="0"/>
        <item x="1"/>
        <item x="2"/>
      </items>
    </pivotField>
    <pivotField axis="axisRow" outline="0" showAll="0" defaultSubtotal="0">
      <items count="16">
        <item x="13"/>
        <item x="4"/>
        <item x="7"/>
        <item x="6"/>
        <item x="5"/>
        <item x="11"/>
        <item x="0"/>
        <item x="8"/>
        <item x="10"/>
        <item x="2"/>
        <item x="14"/>
        <item x="9"/>
        <item x="1"/>
        <item x="15"/>
        <item x="3"/>
        <item x="12"/>
      </items>
    </pivotField>
    <pivotField showAll="0"/>
    <pivotField axis="axisRow" showAll="0">
      <items count="82">
        <item x="73"/>
        <item x="25"/>
        <item x="65"/>
        <item x="54"/>
        <item x="58"/>
        <item x="36"/>
        <item x="37"/>
        <item x="33"/>
        <item x="66"/>
        <item x="45"/>
        <item m="1" x="79"/>
        <item x="63"/>
        <item x="68"/>
        <item x="22"/>
        <item x="15"/>
        <item x="12"/>
        <item x="59"/>
        <item x="60"/>
        <item x="40"/>
        <item x="75"/>
        <item x="53"/>
        <item x="50"/>
        <item x="61"/>
        <item x="9"/>
        <item x="41"/>
        <item x="42"/>
        <item x="24"/>
        <item x="76"/>
        <item x="27"/>
        <item x="57"/>
        <item x="49"/>
        <item m="1" x="80"/>
        <item x="7"/>
        <item x="6"/>
        <item x="30"/>
        <item x="48"/>
        <item x="47"/>
        <item x="38"/>
        <item x="29"/>
        <item x="31"/>
        <item x="32"/>
        <item x="74"/>
        <item x="28"/>
        <item x="44"/>
        <item x="71"/>
        <item x="70"/>
        <item x="34"/>
        <item x="77"/>
        <item x="46"/>
        <item x="72"/>
        <item x="62"/>
        <item x="67"/>
        <item x="2"/>
        <item x="23"/>
        <item x="20"/>
        <item x="13"/>
        <item x="16"/>
        <item x="5"/>
        <item x="18"/>
        <item x="69"/>
        <item x="8"/>
        <item x="11"/>
        <item x="0"/>
        <item x="14"/>
        <item x="21"/>
        <item x="10"/>
        <item x="17"/>
        <item m="1" x="78"/>
        <item x="26"/>
        <item x="43"/>
        <item x="52"/>
        <item x="51"/>
        <item x="64"/>
        <item x="55"/>
        <item x="3"/>
        <item x="1"/>
        <item x="19"/>
        <item x="39"/>
        <item x="4"/>
        <item x="35"/>
        <item x="5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showAll="0"/>
    <pivotField dataField="1" numFmtId="164" showAll="0"/>
    <pivotField showAll="0"/>
    <pivotField showAll="0"/>
    <pivotField showAll="0"/>
    <pivotField showAll="0"/>
    <pivotField showAll="0"/>
    <pivotField showAll="0"/>
    <pivotField showAll="0"/>
    <pivotField showAll="0"/>
  </pivotFields>
  <rowFields count="2">
    <field x="2"/>
    <field x="4"/>
  </rowFields>
  <rowItems count="24">
    <i>
      <x v="5"/>
      <x v="48"/>
    </i>
    <i>
      <x v="7"/>
      <x v="2"/>
    </i>
    <i r="1">
      <x v="3"/>
    </i>
    <i r="1">
      <x v="4"/>
    </i>
    <i r="1">
      <x v="11"/>
    </i>
    <i r="1">
      <x v="12"/>
    </i>
    <i r="1">
      <x v="16"/>
    </i>
    <i r="1">
      <x v="17"/>
    </i>
    <i r="1">
      <x v="20"/>
    </i>
    <i r="1">
      <x v="21"/>
    </i>
    <i r="1">
      <x v="22"/>
    </i>
    <i r="1">
      <x v="30"/>
    </i>
    <i r="1">
      <x v="35"/>
    </i>
    <i r="1">
      <x v="36"/>
    </i>
    <i r="1">
      <x v="50"/>
    </i>
    <i r="1">
      <x v="69"/>
    </i>
    <i r="1">
      <x v="70"/>
    </i>
    <i r="1">
      <x v="71"/>
    </i>
    <i r="1">
      <x v="72"/>
    </i>
    <i r="1">
      <x v="73"/>
    </i>
    <i>
      <x v="8"/>
      <x v="9"/>
    </i>
    <i>
      <x v="15"/>
      <x v="29"/>
    </i>
    <i r="1">
      <x v="80"/>
    </i>
    <i t="grand">
      <x/>
    </i>
  </rowItems>
  <colItems count="1">
    <i/>
  </colItems>
  <pageFields count="1">
    <pageField fld="1" item="1" hier="-1"/>
  </pageFields>
  <dataFields count="1">
    <dataField name="Suma de % CUMP VS META ACUMULADA2" fld="25" baseField="0" baseItem="0"/>
  </dataFields>
  <formats count="32">
    <format dxfId="252">
      <pivotArea collapsedLevelsAreSubtotals="1" fieldPosition="0">
        <references count="3">
          <reference field="1" count="1" selected="0">
            <x v="0"/>
          </reference>
          <reference field="2" count="1" selected="0">
            <x v="0"/>
          </reference>
          <reference field="4" count="2">
            <x v="8"/>
            <x v="51"/>
          </reference>
        </references>
      </pivotArea>
    </format>
    <format dxfId="251">
      <pivotArea collapsedLevelsAreSubtotals="1" fieldPosition="0">
        <references count="3">
          <reference field="1" count="1" selected="0">
            <x v="0"/>
          </reference>
          <reference field="2" count="1" selected="0">
            <x v="1"/>
          </reference>
          <reference field="4" count="9">
            <x v="5"/>
            <x v="6"/>
            <x v="18"/>
            <x v="24"/>
            <x v="28"/>
            <x v="31"/>
            <x v="37"/>
            <x v="42"/>
            <x v="46"/>
          </reference>
        </references>
      </pivotArea>
    </format>
    <format dxfId="250">
      <pivotArea collapsedLevelsAreSubtotals="1" fieldPosition="0">
        <references count="3">
          <reference field="1" count="1" selected="0">
            <x v="0"/>
          </reference>
          <reference field="2" count="1" selected="0">
            <x v="2"/>
          </reference>
          <reference field="4" count="4">
            <x v="7"/>
            <x v="39"/>
            <x v="40"/>
            <x v="77"/>
          </reference>
        </references>
      </pivotArea>
    </format>
    <format dxfId="249">
      <pivotArea collapsedLevelsAreSubtotals="1" fieldPosition="0">
        <references count="3">
          <reference field="1" count="1" selected="0">
            <x v="0"/>
          </reference>
          <reference field="2" count="1" selected="0">
            <x v="3"/>
          </reference>
          <reference field="4" count="2">
            <x v="25"/>
            <x v="34"/>
          </reference>
        </references>
      </pivotArea>
    </format>
    <format dxfId="248">
      <pivotArea collapsedLevelsAreSubtotals="1" fieldPosition="0">
        <references count="3">
          <reference field="1" count="1" selected="0">
            <x v="0"/>
          </reference>
          <reference field="2" count="1" selected="0">
            <x v="4"/>
          </reference>
          <reference field="4" count="1">
            <x v="38"/>
          </reference>
        </references>
      </pivotArea>
    </format>
    <format dxfId="247">
      <pivotArea collapsedLevelsAreSubtotals="1" fieldPosition="0">
        <references count="3">
          <reference field="1" count="1" selected="0">
            <x v="0"/>
          </reference>
          <reference field="2" count="1" selected="0">
            <x v="6"/>
          </reference>
          <reference field="4" count="20">
            <x v="13"/>
            <x v="14"/>
            <x v="15"/>
            <x v="26"/>
            <x v="52"/>
            <x v="53"/>
            <x v="54"/>
            <x v="55"/>
            <x v="56"/>
            <x v="61"/>
            <x v="62"/>
            <x v="63"/>
            <x v="64"/>
            <x v="65"/>
            <x v="66"/>
            <x v="67"/>
            <x v="68"/>
            <x v="74"/>
            <x v="75"/>
            <x v="76"/>
          </reference>
        </references>
      </pivotArea>
    </format>
    <format dxfId="246">
      <pivotArea collapsedLevelsAreSubtotals="1" fieldPosition="0">
        <references count="3">
          <reference field="1" count="1" selected="0">
            <x v="0"/>
          </reference>
          <reference field="2" count="1" selected="0">
            <x v="9"/>
          </reference>
          <reference field="4" count="2">
            <x v="32"/>
            <x v="33"/>
          </reference>
        </references>
      </pivotArea>
    </format>
    <format dxfId="245">
      <pivotArea collapsedLevelsAreSubtotals="1" fieldPosition="0">
        <references count="3">
          <reference field="1" count="1" selected="0">
            <x v="0"/>
          </reference>
          <reference field="2" count="1" selected="0">
            <x v="10"/>
          </reference>
          <reference field="4" count="4">
            <x v="44"/>
            <x v="45"/>
            <x v="49"/>
            <x v="59"/>
          </reference>
        </references>
      </pivotArea>
    </format>
    <format dxfId="244">
      <pivotArea collapsedLevelsAreSubtotals="1" fieldPosition="0">
        <references count="3">
          <reference field="1" count="1" selected="0">
            <x v="0"/>
          </reference>
          <reference field="2" count="1" selected="0">
            <x v="12"/>
          </reference>
          <reference field="4" count="3">
            <x v="1"/>
            <x v="57"/>
            <x v="58"/>
          </reference>
        </references>
      </pivotArea>
    </format>
    <format dxfId="243">
      <pivotArea collapsedLevelsAreSubtotals="1" fieldPosition="0">
        <references count="3">
          <reference field="1" count="1" selected="0">
            <x v="0"/>
          </reference>
          <reference field="2" count="1" selected="0">
            <x v="13"/>
          </reference>
          <reference field="4" count="3">
            <x v="0"/>
            <x v="19"/>
            <x v="41"/>
          </reference>
        </references>
      </pivotArea>
    </format>
    <format dxfId="242">
      <pivotArea collapsedLevelsAreSubtotals="1" fieldPosition="0">
        <references count="3">
          <reference field="1" count="1" selected="0">
            <x v="0"/>
          </reference>
          <reference field="2" count="1" selected="0">
            <x v="14"/>
          </reference>
          <reference field="4" count="4">
            <x v="23"/>
            <x v="27"/>
            <x v="47"/>
            <x v="60"/>
          </reference>
        </references>
      </pivotArea>
    </format>
    <format dxfId="241">
      <pivotArea collapsedLevelsAreSubtotals="1" fieldPosition="0">
        <references count="3">
          <reference field="1" count="1" selected="0">
            <x v="1"/>
          </reference>
          <reference field="2" count="1" selected="0">
            <x v="5"/>
          </reference>
          <reference field="4" count="1">
            <x v="48"/>
          </reference>
        </references>
      </pivotArea>
    </format>
    <format dxfId="240">
      <pivotArea collapsedLevelsAreSubtotals="1" fieldPosition="0">
        <references count="3">
          <reference field="1" count="1" selected="0">
            <x v="1"/>
          </reference>
          <reference field="2" count="1" selected="0">
            <x v="7"/>
          </reference>
          <reference field="4" count="19">
            <x v="2"/>
            <x v="3"/>
            <x v="4"/>
            <x v="11"/>
            <x v="12"/>
            <x v="16"/>
            <x v="17"/>
            <x v="20"/>
            <x v="21"/>
            <x v="22"/>
            <x v="30"/>
            <x v="35"/>
            <x v="36"/>
            <x v="50"/>
            <x v="69"/>
            <x v="70"/>
            <x v="71"/>
            <x v="72"/>
            <x v="73"/>
          </reference>
        </references>
      </pivotArea>
    </format>
    <format dxfId="239">
      <pivotArea collapsedLevelsAreSubtotals="1" fieldPosition="0">
        <references count="3">
          <reference field="1" count="1" selected="0">
            <x v="1"/>
          </reference>
          <reference field="2" count="1" selected="0">
            <x v="8"/>
          </reference>
          <reference field="4" count="1">
            <x v="9"/>
          </reference>
        </references>
      </pivotArea>
    </format>
    <format dxfId="238">
      <pivotArea collapsedLevelsAreSubtotals="1" fieldPosition="0">
        <references count="3">
          <reference field="1" count="1" selected="0">
            <x v="1"/>
          </reference>
          <reference field="2" count="1" selected="0">
            <x v="11"/>
          </reference>
          <reference field="4" count="1">
            <x v="43"/>
          </reference>
        </references>
      </pivotArea>
    </format>
    <format dxfId="237">
      <pivotArea collapsedLevelsAreSubtotals="1" fieldPosition="0">
        <references count="3">
          <reference field="1" count="1" selected="0">
            <x v="1"/>
          </reference>
          <reference field="2" count="1" selected="0">
            <x v="15"/>
          </reference>
          <reference field="4" count="2">
            <x v="10"/>
            <x v="29"/>
          </reference>
        </references>
      </pivotArea>
    </format>
    <format dxfId="236">
      <pivotArea dataOnly="0" labelOnly="1" fieldPosition="0">
        <references count="3">
          <reference field="1" count="1" selected="0">
            <x v="0"/>
          </reference>
          <reference field="2" count="1" selected="0">
            <x v="0"/>
          </reference>
          <reference field="4" count="2">
            <x v="8"/>
            <x v="51"/>
          </reference>
        </references>
      </pivotArea>
    </format>
    <format dxfId="235">
      <pivotArea dataOnly="0" labelOnly="1" fieldPosition="0">
        <references count="3">
          <reference field="1" count="1" selected="0">
            <x v="0"/>
          </reference>
          <reference field="2" count="1" selected="0">
            <x v="1"/>
          </reference>
          <reference field="4" count="9">
            <x v="5"/>
            <x v="6"/>
            <x v="18"/>
            <x v="24"/>
            <x v="28"/>
            <x v="31"/>
            <x v="37"/>
            <x v="42"/>
            <x v="46"/>
          </reference>
        </references>
      </pivotArea>
    </format>
    <format dxfId="234">
      <pivotArea dataOnly="0" labelOnly="1" fieldPosition="0">
        <references count="3">
          <reference field="1" count="1" selected="0">
            <x v="0"/>
          </reference>
          <reference field="2" count="1" selected="0">
            <x v="2"/>
          </reference>
          <reference field="4" count="4">
            <x v="7"/>
            <x v="39"/>
            <x v="40"/>
            <x v="77"/>
          </reference>
        </references>
      </pivotArea>
    </format>
    <format dxfId="233">
      <pivotArea dataOnly="0" labelOnly="1" fieldPosition="0">
        <references count="3">
          <reference field="1" count="1" selected="0">
            <x v="0"/>
          </reference>
          <reference field="2" count="1" selected="0">
            <x v="3"/>
          </reference>
          <reference field="4" count="2">
            <x v="25"/>
            <x v="34"/>
          </reference>
        </references>
      </pivotArea>
    </format>
    <format dxfId="232">
      <pivotArea dataOnly="0" labelOnly="1" fieldPosition="0">
        <references count="3">
          <reference field="1" count="1" selected="0">
            <x v="0"/>
          </reference>
          <reference field="2" count="1" selected="0">
            <x v="4"/>
          </reference>
          <reference field="4" count="1">
            <x v="38"/>
          </reference>
        </references>
      </pivotArea>
    </format>
    <format dxfId="231">
      <pivotArea dataOnly="0" labelOnly="1" fieldPosition="0">
        <references count="3">
          <reference field="1" count="1" selected="0">
            <x v="0"/>
          </reference>
          <reference field="2" count="1" selected="0">
            <x v="6"/>
          </reference>
          <reference field="4" count="20">
            <x v="13"/>
            <x v="14"/>
            <x v="15"/>
            <x v="26"/>
            <x v="52"/>
            <x v="53"/>
            <x v="54"/>
            <x v="55"/>
            <x v="56"/>
            <x v="61"/>
            <x v="62"/>
            <x v="63"/>
            <x v="64"/>
            <x v="65"/>
            <x v="66"/>
            <x v="67"/>
            <x v="68"/>
            <x v="74"/>
            <x v="75"/>
            <x v="76"/>
          </reference>
        </references>
      </pivotArea>
    </format>
    <format dxfId="230">
      <pivotArea dataOnly="0" labelOnly="1" fieldPosition="0">
        <references count="3">
          <reference field="1" count="1" selected="0">
            <x v="0"/>
          </reference>
          <reference field="2" count="1" selected="0">
            <x v="9"/>
          </reference>
          <reference field="4" count="2">
            <x v="32"/>
            <x v="33"/>
          </reference>
        </references>
      </pivotArea>
    </format>
    <format dxfId="229">
      <pivotArea dataOnly="0" labelOnly="1" fieldPosition="0">
        <references count="3">
          <reference field="1" count="1" selected="0">
            <x v="0"/>
          </reference>
          <reference field="2" count="1" selected="0">
            <x v="10"/>
          </reference>
          <reference field="4" count="4">
            <x v="44"/>
            <x v="45"/>
            <x v="49"/>
            <x v="59"/>
          </reference>
        </references>
      </pivotArea>
    </format>
    <format dxfId="228">
      <pivotArea dataOnly="0" labelOnly="1" fieldPosition="0">
        <references count="3">
          <reference field="1" count="1" selected="0">
            <x v="0"/>
          </reference>
          <reference field="2" count="1" selected="0">
            <x v="12"/>
          </reference>
          <reference field="4" count="3">
            <x v="1"/>
            <x v="57"/>
            <x v="58"/>
          </reference>
        </references>
      </pivotArea>
    </format>
    <format dxfId="227">
      <pivotArea dataOnly="0" labelOnly="1" fieldPosition="0">
        <references count="3">
          <reference field="1" count="1" selected="0">
            <x v="0"/>
          </reference>
          <reference field="2" count="1" selected="0">
            <x v="13"/>
          </reference>
          <reference field="4" count="3">
            <x v="0"/>
            <x v="19"/>
            <x v="41"/>
          </reference>
        </references>
      </pivotArea>
    </format>
    <format dxfId="226">
      <pivotArea dataOnly="0" labelOnly="1" fieldPosition="0">
        <references count="3">
          <reference field="1" count="1" selected="0">
            <x v="0"/>
          </reference>
          <reference field="2" count="1" selected="0">
            <x v="14"/>
          </reference>
          <reference field="4" count="4">
            <x v="23"/>
            <x v="27"/>
            <x v="47"/>
            <x v="60"/>
          </reference>
        </references>
      </pivotArea>
    </format>
    <format dxfId="225">
      <pivotArea dataOnly="0" labelOnly="1" fieldPosition="0">
        <references count="3">
          <reference field="1" count="1" selected="0">
            <x v="1"/>
          </reference>
          <reference field="2" count="1" selected="0">
            <x v="5"/>
          </reference>
          <reference field="4" count="1">
            <x v="48"/>
          </reference>
        </references>
      </pivotArea>
    </format>
    <format dxfId="224">
      <pivotArea dataOnly="0" labelOnly="1" fieldPosition="0">
        <references count="3">
          <reference field="1" count="1" selected="0">
            <x v="1"/>
          </reference>
          <reference field="2" count="1" selected="0">
            <x v="7"/>
          </reference>
          <reference field="4" count="19">
            <x v="2"/>
            <x v="3"/>
            <x v="4"/>
            <x v="11"/>
            <x v="12"/>
            <x v="16"/>
            <x v="17"/>
            <x v="20"/>
            <x v="21"/>
            <x v="22"/>
            <x v="30"/>
            <x v="35"/>
            <x v="36"/>
            <x v="50"/>
            <x v="69"/>
            <x v="70"/>
            <x v="71"/>
            <x v="72"/>
            <x v="73"/>
          </reference>
        </references>
      </pivotArea>
    </format>
    <format dxfId="223">
      <pivotArea dataOnly="0" labelOnly="1" fieldPosition="0">
        <references count="3">
          <reference field="1" count="1" selected="0">
            <x v="1"/>
          </reference>
          <reference field="2" count="1" selected="0">
            <x v="8"/>
          </reference>
          <reference field="4" count="1">
            <x v="9"/>
          </reference>
        </references>
      </pivotArea>
    </format>
    <format dxfId="222">
      <pivotArea dataOnly="0" labelOnly="1" fieldPosition="0">
        <references count="3">
          <reference field="1" count="1" selected="0">
            <x v="1"/>
          </reference>
          <reference field="2" count="1" selected="0">
            <x v="11"/>
          </reference>
          <reference field="4" count="1">
            <x v="43"/>
          </reference>
        </references>
      </pivotArea>
    </format>
    <format dxfId="221">
      <pivotArea dataOnly="0" labelOnly="1" fieldPosition="0">
        <references count="3">
          <reference field="1" count="1" selected="0">
            <x v="1"/>
          </reference>
          <reference field="2" count="1" selected="0">
            <x v="15"/>
          </reference>
          <reference field="4" count="2">
            <x v="10"/>
            <x v="2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4"/>
  <sheetViews>
    <sheetView topLeftCell="C1" workbookViewId="0">
      <selection activeCell="E10" sqref="E10"/>
    </sheetView>
  </sheetViews>
  <sheetFormatPr baseColWidth="10" defaultRowHeight="15" x14ac:dyDescent="0.25"/>
  <cols>
    <col min="1" max="1" width="5.5703125" style="5" customWidth="1"/>
    <col min="2" max="2" width="20.85546875" style="5" customWidth="1"/>
    <col min="3" max="3" width="15.140625" style="5" bestFit="1" customWidth="1"/>
    <col min="4" max="4" width="20.7109375" style="5" customWidth="1"/>
    <col min="5" max="5" width="60.85546875" style="598" customWidth="1"/>
    <col min="6" max="6" width="11.42578125" style="5"/>
    <col min="7" max="7" width="10.7109375" style="5" customWidth="1"/>
    <col min="8" max="8" width="11.7109375" style="5" customWidth="1"/>
    <col min="9" max="9" width="10.42578125" style="5" customWidth="1"/>
    <col min="10" max="10" width="11" style="5" customWidth="1"/>
    <col min="11" max="11" width="9.42578125" style="5" customWidth="1"/>
    <col min="12" max="12" width="2.7109375" style="290" customWidth="1"/>
    <col min="13" max="13" width="10.5703125" style="5" hidden="1" customWidth="1"/>
    <col min="14" max="14" width="11.140625" style="5" customWidth="1"/>
    <col min="15" max="15" width="9" style="5" hidden="1" customWidth="1"/>
    <col min="16" max="16" width="9.42578125" style="5" customWidth="1"/>
    <col min="17" max="17" width="17.42578125" style="5" customWidth="1"/>
    <col min="18" max="18" width="11" style="5" hidden="1" customWidth="1"/>
    <col min="19" max="19" width="11.85546875" style="5" customWidth="1"/>
    <col min="20" max="20" width="16.7109375" style="5" customWidth="1"/>
    <col min="21" max="16384" width="11.42578125" style="5"/>
  </cols>
  <sheetData>
    <row r="1" spans="1:22" x14ac:dyDescent="0.25">
      <c r="V1" s="5" t="s">
        <v>403</v>
      </c>
    </row>
    <row r="3" spans="1:22" ht="15.75" thickBot="1" x14ac:dyDescent="0.3">
      <c r="V3" s="5" t="s">
        <v>404</v>
      </c>
    </row>
    <row r="4" spans="1:22" ht="60.75" thickBot="1" x14ac:dyDescent="0.3">
      <c r="A4" s="594" t="s">
        <v>408</v>
      </c>
      <c r="B4" s="596" t="s">
        <v>407</v>
      </c>
      <c r="C4" s="594" t="s">
        <v>320</v>
      </c>
      <c r="D4" s="595" t="s">
        <v>406</v>
      </c>
      <c r="E4" s="595" t="s">
        <v>374</v>
      </c>
      <c r="F4" s="595" t="s">
        <v>174</v>
      </c>
      <c r="G4" s="595" t="s">
        <v>402</v>
      </c>
      <c r="H4" s="595" t="s">
        <v>401</v>
      </c>
      <c r="I4" s="595" t="s">
        <v>299</v>
      </c>
      <c r="J4" s="595" t="s">
        <v>1</v>
      </c>
      <c r="K4" s="597" t="s">
        <v>215</v>
      </c>
      <c r="L4" s="670"/>
      <c r="M4" s="594" t="s">
        <v>90</v>
      </c>
      <c r="N4" s="595" t="s">
        <v>140</v>
      </c>
      <c r="O4" s="595" t="s">
        <v>373</v>
      </c>
      <c r="P4" s="595" t="s">
        <v>142</v>
      </c>
      <c r="Q4" s="595" t="s">
        <v>409</v>
      </c>
      <c r="R4" s="595" t="s">
        <v>107</v>
      </c>
      <c r="S4" s="595" t="s">
        <v>410</v>
      </c>
      <c r="T4" s="597" t="s">
        <v>411</v>
      </c>
    </row>
    <row r="5" spans="1:22" ht="75" x14ac:dyDescent="0.25">
      <c r="A5" s="607">
        <v>1</v>
      </c>
      <c r="B5" s="669" t="s">
        <v>398</v>
      </c>
      <c r="C5" s="794" t="s">
        <v>165</v>
      </c>
      <c r="D5" s="635" t="s">
        <v>136</v>
      </c>
      <c r="E5" s="636" t="s">
        <v>69</v>
      </c>
      <c r="F5" s="609" t="s">
        <v>191</v>
      </c>
      <c r="G5" s="609" t="s">
        <v>184</v>
      </c>
      <c r="H5" s="609" t="s">
        <v>183</v>
      </c>
      <c r="I5" s="609" t="s">
        <v>177</v>
      </c>
      <c r="J5" s="637">
        <v>1</v>
      </c>
      <c r="K5" s="651">
        <v>0</v>
      </c>
      <c r="L5" s="646"/>
      <c r="M5" s="659">
        <v>0.5</v>
      </c>
      <c r="N5" s="638">
        <v>0.5</v>
      </c>
      <c r="O5" s="637">
        <v>0.2</v>
      </c>
      <c r="P5" s="638">
        <v>0.2</v>
      </c>
      <c r="Q5" s="604" t="s">
        <v>405</v>
      </c>
      <c r="R5" s="605">
        <v>0.4</v>
      </c>
      <c r="S5" s="229">
        <v>0.4</v>
      </c>
      <c r="T5" s="639">
        <f>+VLOOKUP(E5,'Base Indicadores 1'!$B$7:$AK$85,35,0)</f>
        <v>0.2</v>
      </c>
    </row>
    <row r="6" spans="1:22" ht="30" customHeight="1" x14ac:dyDescent="0.25">
      <c r="A6" s="287">
        <v>2</v>
      </c>
      <c r="B6" s="602" t="s">
        <v>397</v>
      </c>
      <c r="C6" s="792"/>
      <c r="D6" s="668" t="s">
        <v>127</v>
      </c>
      <c r="E6" s="615" t="s">
        <v>30</v>
      </c>
      <c r="F6" s="610" t="s">
        <v>191</v>
      </c>
      <c r="G6" s="610" t="s">
        <v>190</v>
      </c>
      <c r="H6" s="610" t="s">
        <v>183</v>
      </c>
      <c r="I6" s="610" t="s">
        <v>177</v>
      </c>
      <c r="J6" s="619">
        <v>0.12</v>
      </c>
      <c r="K6" s="652">
        <v>0</v>
      </c>
      <c r="L6" s="646"/>
      <c r="M6" s="660">
        <v>0.09</v>
      </c>
      <c r="N6" s="620">
        <v>0.09</v>
      </c>
      <c r="O6" s="619">
        <v>0</v>
      </c>
      <c r="P6" s="620">
        <v>0</v>
      </c>
      <c r="Q6" s="592" t="s">
        <v>405</v>
      </c>
      <c r="R6" s="44">
        <v>0</v>
      </c>
      <c r="S6" s="230">
        <v>0</v>
      </c>
      <c r="T6" s="640">
        <f>+VLOOKUP(E6,'Base Indicadores 1'!$B$7:$AK$85,35,0)</f>
        <v>0</v>
      </c>
    </row>
    <row r="7" spans="1:22" ht="15.75" x14ac:dyDescent="0.25">
      <c r="A7" s="287">
        <v>4</v>
      </c>
      <c r="B7" s="602" t="s">
        <v>397</v>
      </c>
      <c r="C7" s="792"/>
      <c r="D7" s="795" t="s">
        <v>129</v>
      </c>
      <c r="E7" s="615" t="s">
        <v>32</v>
      </c>
      <c r="F7" s="610" t="s">
        <v>175</v>
      </c>
      <c r="G7" s="610" t="s">
        <v>184</v>
      </c>
      <c r="H7" s="610" t="s">
        <v>183</v>
      </c>
      <c r="I7" s="610" t="s">
        <v>178</v>
      </c>
      <c r="J7" s="619">
        <v>0.2</v>
      </c>
      <c r="K7" s="652">
        <v>0</v>
      </c>
      <c r="L7" s="646"/>
      <c r="M7" s="660">
        <v>0.13</v>
      </c>
      <c r="N7" s="620">
        <v>0.13</v>
      </c>
      <c r="O7" s="619">
        <v>0.10009999999999999</v>
      </c>
      <c r="P7" s="620">
        <v>0.10009999999999999</v>
      </c>
      <c r="Q7" s="592"/>
      <c r="R7" s="145">
        <v>0.76999999999999991</v>
      </c>
      <c r="S7" s="230">
        <v>0.50049999999999994</v>
      </c>
      <c r="T7" s="640">
        <f>+VLOOKUP(E7,'Base Indicadores 1'!$B$7:$AK$85,35,0)</f>
        <v>0.66949999999999987</v>
      </c>
    </row>
    <row r="8" spans="1:22" ht="60" x14ac:dyDescent="0.25">
      <c r="A8" s="287">
        <v>5</v>
      </c>
      <c r="B8" s="602" t="s">
        <v>395</v>
      </c>
      <c r="C8" s="792"/>
      <c r="D8" s="796"/>
      <c r="E8" s="615" t="s">
        <v>44</v>
      </c>
      <c r="F8" s="610" t="s">
        <v>175</v>
      </c>
      <c r="G8" s="610" t="s">
        <v>184</v>
      </c>
      <c r="H8" s="610" t="s">
        <v>193</v>
      </c>
      <c r="I8" s="610" t="s">
        <v>178</v>
      </c>
      <c r="J8" s="617">
        <v>1500000</v>
      </c>
      <c r="K8" s="653">
        <v>0</v>
      </c>
      <c r="L8" s="647"/>
      <c r="M8" s="661">
        <v>1000000</v>
      </c>
      <c r="N8" s="622">
        <v>1000000</v>
      </c>
      <c r="O8" s="621">
        <v>730411</v>
      </c>
      <c r="P8" s="622">
        <v>730411</v>
      </c>
      <c r="Q8" s="592"/>
      <c r="R8" s="145">
        <v>0.73041100000000003</v>
      </c>
      <c r="S8" s="230">
        <v>0.48694066666666669</v>
      </c>
      <c r="T8" s="640">
        <f>+VLOOKUP(E8,'Base Indicadores 1'!$B$7:$AK$85,35,0)</f>
        <v>0.66192533333333337</v>
      </c>
    </row>
    <row r="9" spans="1:22" ht="45" x14ac:dyDescent="0.25">
      <c r="A9" s="287">
        <v>6</v>
      </c>
      <c r="B9" s="602" t="s">
        <v>392</v>
      </c>
      <c r="C9" s="792"/>
      <c r="D9" s="795" t="s">
        <v>123</v>
      </c>
      <c r="E9" s="615" t="s">
        <v>3</v>
      </c>
      <c r="F9" s="612" t="s">
        <v>185</v>
      </c>
      <c r="G9" s="612" t="s">
        <v>184</v>
      </c>
      <c r="H9" s="612" t="s">
        <v>186</v>
      </c>
      <c r="I9" s="612" t="s">
        <v>177</v>
      </c>
      <c r="J9" s="619">
        <v>0.45</v>
      </c>
      <c r="K9" s="652">
        <v>0.372</v>
      </c>
      <c r="L9" s="646"/>
      <c r="M9" s="660">
        <v>0.43009999999999998</v>
      </c>
      <c r="N9" s="620">
        <v>0.43009999999999998</v>
      </c>
      <c r="O9" s="619">
        <v>0.42370000000000002</v>
      </c>
      <c r="P9" s="620">
        <v>0.42370000000000002</v>
      </c>
      <c r="Q9" s="592" t="s">
        <v>405</v>
      </c>
      <c r="R9" s="145">
        <v>0.88984509466437245</v>
      </c>
      <c r="S9" s="230">
        <v>0.66282051282051302</v>
      </c>
      <c r="T9" s="640">
        <f>+VLOOKUP(E9,'Base Indicadores 1'!$B$7:$AK$85,35,0)</f>
        <v>1.0897435897435899</v>
      </c>
    </row>
    <row r="10" spans="1:22" ht="45" x14ac:dyDescent="0.25">
      <c r="A10" s="287">
        <v>7</v>
      </c>
      <c r="B10" s="602" t="s">
        <v>392</v>
      </c>
      <c r="C10" s="792"/>
      <c r="D10" s="797"/>
      <c r="E10" s="615" t="s">
        <v>5</v>
      </c>
      <c r="F10" s="612" t="s">
        <v>185</v>
      </c>
      <c r="G10" s="612" t="s">
        <v>187</v>
      </c>
      <c r="H10" s="612" t="s">
        <v>183</v>
      </c>
      <c r="I10" s="612" t="s">
        <v>177</v>
      </c>
      <c r="J10" s="619">
        <v>2.5000000000000001E-2</v>
      </c>
      <c r="K10" s="652">
        <v>3.1E-2</v>
      </c>
      <c r="L10" s="646"/>
      <c r="M10" s="660">
        <v>2.8799999999999999E-2</v>
      </c>
      <c r="N10" s="620">
        <v>2.8799999999999999E-2</v>
      </c>
      <c r="O10" s="619">
        <v>3.0800000000000001E-2</v>
      </c>
      <c r="P10" s="620">
        <v>3.0800000000000001E-2</v>
      </c>
      <c r="Q10" s="592"/>
      <c r="R10" s="145">
        <v>9.0909090909090329E-2</v>
      </c>
      <c r="S10" s="230">
        <v>9.0909090909090329E-2</v>
      </c>
      <c r="T10" s="640">
        <f>+VLOOKUP(E10,'Base Indicadores 1'!$B$7:$AK$85,35,0)</f>
        <v>3.3333333333333139E-2</v>
      </c>
    </row>
    <row r="11" spans="1:22" ht="15.75" x14ac:dyDescent="0.25">
      <c r="A11" s="287">
        <v>8</v>
      </c>
      <c r="B11" s="602" t="s">
        <v>397</v>
      </c>
      <c r="C11" s="792"/>
      <c r="D11" s="797"/>
      <c r="E11" s="615" t="s">
        <v>2</v>
      </c>
      <c r="F11" s="610" t="s">
        <v>185</v>
      </c>
      <c r="G11" s="610" t="s">
        <v>184</v>
      </c>
      <c r="H11" s="610" t="s">
        <v>186</v>
      </c>
      <c r="I11" s="610" t="s">
        <v>177</v>
      </c>
      <c r="J11" s="619">
        <v>0.83</v>
      </c>
      <c r="K11" s="652">
        <v>0.77300000000000002</v>
      </c>
      <c r="L11" s="646"/>
      <c r="M11" s="660">
        <v>0.81899999999999995</v>
      </c>
      <c r="N11" s="620">
        <v>0.81899999999999995</v>
      </c>
      <c r="O11" s="619">
        <v>0.80110000000000003</v>
      </c>
      <c r="P11" s="620">
        <v>0.80110000000000003</v>
      </c>
      <c r="Q11" s="592"/>
      <c r="R11" s="145">
        <v>0.61086956521739255</v>
      </c>
      <c r="S11" s="230">
        <v>0.49298245614035163</v>
      </c>
      <c r="T11" s="640">
        <f>+VLOOKUP(E11,'Base Indicadores 1'!$B$7:$AK$85,35,0)</f>
        <v>0.49298245614035163</v>
      </c>
    </row>
    <row r="12" spans="1:22" ht="45" x14ac:dyDescent="0.25">
      <c r="A12" s="287">
        <v>9</v>
      </c>
      <c r="B12" s="602" t="s">
        <v>394</v>
      </c>
      <c r="C12" s="792"/>
      <c r="D12" s="797"/>
      <c r="E12" s="615" t="s">
        <v>156</v>
      </c>
      <c r="F12" s="610" t="s">
        <v>185</v>
      </c>
      <c r="G12" s="610" t="s">
        <v>184</v>
      </c>
      <c r="H12" s="610" t="s">
        <v>186</v>
      </c>
      <c r="I12" s="610" t="s">
        <v>177</v>
      </c>
      <c r="J12" s="619">
        <v>0.69</v>
      </c>
      <c r="K12" s="652">
        <v>0.621</v>
      </c>
      <c r="L12" s="646"/>
      <c r="M12" s="660">
        <v>0.67976000000000003</v>
      </c>
      <c r="N12" s="620">
        <v>0.67976000000000003</v>
      </c>
      <c r="O12" s="619">
        <v>0.66759999999999997</v>
      </c>
      <c r="P12" s="620">
        <v>0.66759999999999997</v>
      </c>
      <c r="Q12" s="592"/>
      <c r="R12" s="145">
        <v>0.79305650102110192</v>
      </c>
      <c r="S12" s="230">
        <v>0.67536231884057984</v>
      </c>
      <c r="T12" s="640">
        <f>+VLOOKUP(E12,'Base Indicadores 1'!$B$7:$AK$85,35,0)</f>
        <v>0.67536231884057984</v>
      </c>
    </row>
    <row r="13" spans="1:22" ht="30" x14ac:dyDescent="0.25">
      <c r="A13" s="287">
        <v>10</v>
      </c>
      <c r="B13" s="602" t="s">
        <v>399</v>
      </c>
      <c r="C13" s="792"/>
      <c r="D13" s="797"/>
      <c r="E13" s="615" t="s">
        <v>26</v>
      </c>
      <c r="F13" s="610" t="s">
        <v>191</v>
      </c>
      <c r="G13" s="610" t="s">
        <v>187</v>
      </c>
      <c r="H13" s="612" t="s">
        <v>195</v>
      </c>
      <c r="I13" s="610" t="s">
        <v>177</v>
      </c>
      <c r="J13" s="617">
        <v>553408</v>
      </c>
      <c r="K13" s="653">
        <v>690512</v>
      </c>
      <c r="L13" s="647"/>
      <c r="M13" s="661">
        <v>603443</v>
      </c>
      <c r="N13" s="622">
        <v>603443</v>
      </c>
      <c r="O13" s="621">
        <v>660327</v>
      </c>
      <c r="P13" s="622">
        <v>660327</v>
      </c>
      <c r="Q13" s="592"/>
      <c r="R13" s="145">
        <v>0.34667907062215025</v>
      </c>
      <c r="S13" s="230">
        <v>0.34667907062215025</v>
      </c>
      <c r="T13" s="640">
        <f>+VLOOKUP(E13,'Base Indicadores 1'!$B$7:$AK$85,35,0)</f>
        <v>0.22016133737892402</v>
      </c>
    </row>
    <row r="14" spans="1:22" ht="30" x14ac:dyDescent="0.25">
      <c r="A14" s="287">
        <v>11</v>
      </c>
      <c r="B14" s="602" t="s">
        <v>400</v>
      </c>
      <c r="C14" s="792"/>
      <c r="D14" s="797"/>
      <c r="E14" s="615" t="s">
        <v>19</v>
      </c>
      <c r="F14" s="610" t="s">
        <v>185</v>
      </c>
      <c r="G14" s="610" t="s">
        <v>184</v>
      </c>
      <c r="H14" s="610" t="s">
        <v>186</v>
      </c>
      <c r="I14" s="610" t="s">
        <v>177</v>
      </c>
      <c r="J14" s="619">
        <v>0.91039999999999999</v>
      </c>
      <c r="K14" s="652">
        <v>0.83819999999999995</v>
      </c>
      <c r="L14" s="646"/>
      <c r="M14" s="660">
        <v>0.86599999999999999</v>
      </c>
      <c r="N14" s="620">
        <v>0.86599999999999999</v>
      </c>
      <c r="O14" s="619">
        <v>0.82850000000000001</v>
      </c>
      <c r="P14" s="620">
        <v>0.82850000000000001</v>
      </c>
      <c r="Q14" s="592"/>
      <c r="R14" s="145">
        <v>-0.34892086330934946</v>
      </c>
      <c r="S14" s="230">
        <v>-0.13434903047091309</v>
      </c>
      <c r="T14" s="640">
        <f>+VLOOKUP(E14,'Base Indicadores 1'!$B$7:$AK$85,35,0)</f>
        <v>0.9100395430579965</v>
      </c>
    </row>
    <row r="15" spans="1:22" ht="30" x14ac:dyDescent="0.25">
      <c r="A15" s="287">
        <v>12</v>
      </c>
      <c r="B15" s="602" t="s">
        <v>400</v>
      </c>
      <c r="C15" s="792"/>
      <c r="D15" s="796"/>
      <c r="E15" s="615" t="s">
        <v>13</v>
      </c>
      <c r="F15" s="612" t="s">
        <v>185</v>
      </c>
      <c r="G15" s="612" t="s">
        <v>184</v>
      </c>
      <c r="H15" s="612" t="s">
        <v>186</v>
      </c>
      <c r="I15" s="612" t="s">
        <v>177</v>
      </c>
      <c r="J15" s="627">
        <v>0.84330000000000005</v>
      </c>
      <c r="K15" s="654">
        <v>0.73</v>
      </c>
      <c r="L15" s="648"/>
      <c r="M15" s="662">
        <v>0.82069999999999999</v>
      </c>
      <c r="N15" s="628">
        <v>0.70930000000000004</v>
      </c>
      <c r="O15" s="627">
        <v>0.75449999999999995</v>
      </c>
      <c r="P15" s="628">
        <v>0.75449999999999995</v>
      </c>
      <c r="Q15" s="592"/>
      <c r="R15" s="145">
        <v>0.27012127894156523</v>
      </c>
      <c r="S15" s="230">
        <v>0.21624007060900222</v>
      </c>
      <c r="T15" s="640">
        <f>+VLOOKUP(E15,'Base Indicadores 1'!$B$7:$AK$85,35,0)</f>
        <v>0.21624007060900222</v>
      </c>
    </row>
    <row r="16" spans="1:22" ht="90" x14ac:dyDescent="0.25">
      <c r="A16" s="287">
        <v>13</v>
      </c>
      <c r="B16" s="602" t="s">
        <v>391</v>
      </c>
      <c r="C16" s="792"/>
      <c r="D16" s="612" t="s">
        <v>137</v>
      </c>
      <c r="E16" s="615" t="s">
        <v>71</v>
      </c>
      <c r="F16" s="612" t="s">
        <v>175</v>
      </c>
      <c r="G16" s="612" t="s">
        <v>188</v>
      </c>
      <c r="H16" s="612" t="s">
        <v>195</v>
      </c>
      <c r="I16" s="612" t="s">
        <v>177</v>
      </c>
      <c r="J16" s="613">
        <v>46000</v>
      </c>
      <c r="K16" s="655">
        <v>43429</v>
      </c>
      <c r="L16" s="649"/>
      <c r="M16" s="663">
        <v>15000</v>
      </c>
      <c r="N16" s="614">
        <v>31000</v>
      </c>
      <c r="O16" s="613">
        <v>3135</v>
      </c>
      <c r="P16" s="614">
        <v>6560</v>
      </c>
      <c r="Q16" s="592"/>
      <c r="R16" s="623">
        <v>0.20899999999999999</v>
      </c>
      <c r="S16" s="624">
        <v>0.21161290322580645</v>
      </c>
      <c r="T16" s="640">
        <f>+VLOOKUP(E16,'Base Indicadores 1'!$B$7:$AK$85,35,0)</f>
        <v>0.14260869565217391</v>
      </c>
    </row>
    <row r="17" spans="1:20" ht="90" x14ac:dyDescent="0.25">
      <c r="A17" s="287">
        <v>14</v>
      </c>
      <c r="B17" s="602" t="s">
        <v>391</v>
      </c>
      <c r="C17" s="792"/>
      <c r="D17" s="612" t="s">
        <v>138</v>
      </c>
      <c r="E17" s="615" t="s">
        <v>76</v>
      </c>
      <c r="F17" s="612" t="s">
        <v>175</v>
      </c>
      <c r="G17" s="612" t="s">
        <v>184</v>
      </c>
      <c r="H17" s="612" t="s">
        <v>183</v>
      </c>
      <c r="I17" s="612" t="s">
        <v>178</v>
      </c>
      <c r="J17" s="625">
        <v>0.5</v>
      </c>
      <c r="K17" s="656">
        <v>0</v>
      </c>
      <c r="L17" s="650"/>
      <c r="M17" s="664">
        <v>0.3</v>
      </c>
      <c r="N17" s="626">
        <v>0.3</v>
      </c>
      <c r="O17" s="625">
        <v>0.18</v>
      </c>
      <c r="P17" s="626">
        <v>0.18</v>
      </c>
      <c r="Q17" s="592"/>
      <c r="R17" s="623">
        <v>0.6</v>
      </c>
      <c r="S17" s="624">
        <v>0.6</v>
      </c>
      <c r="T17" s="640">
        <f>+VLOOKUP(E17,'Base Indicadores 1'!$B$7:$AK$85,35,0)</f>
        <v>0.64</v>
      </c>
    </row>
    <row r="18" spans="1:20" ht="45.75" thickBot="1" x14ac:dyDescent="0.3">
      <c r="A18" s="179">
        <v>15</v>
      </c>
      <c r="B18" s="603" t="s">
        <v>392</v>
      </c>
      <c r="C18" s="793"/>
      <c r="D18" s="608" t="s">
        <v>126</v>
      </c>
      <c r="E18" s="616" t="s">
        <v>11</v>
      </c>
      <c r="F18" s="608" t="s">
        <v>191</v>
      </c>
      <c r="G18" s="608" t="s">
        <v>190</v>
      </c>
      <c r="H18" s="608" t="s">
        <v>192</v>
      </c>
      <c r="I18" s="608" t="s">
        <v>177</v>
      </c>
      <c r="J18" s="644">
        <v>357218</v>
      </c>
      <c r="K18" s="657">
        <v>419082</v>
      </c>
      <c r="L18" s="647"/>
      <c r="M18" s="665">
        <v>35000</v>
      </c>
      <c r="N18" s="645">
        <v>327218</v>
      </c>
      <c r="O18" s="644">
        <v>52634</v>
      </c>
      <c r="P18" s="645">
        <v>209370</v>
      </c>
      <c r="Q18" s="593"/>
      <c r="R18" s="606">
        <v>1.5038285714285715</v>
      </c>
      <c r="S18" s="641">
        <v>0.63984866358207682</v>
      </c>
      <c r="T18" s="642">
        <f>+VLOOKUP(E18,'Base Indicadores 1'!$B$7:$AK$85,35,0)</f>
        <v>0.58611268189172994</v>
      </c>
    </row>
    <row r="19" spans="1:20" ht="45" x14ac:dyDescent="0.25">
      <c r="A19" s="600">
        <v>16</v>
      </c>
      <c r="B19" s="599" t="s">
        <v>396</v>
      </c>
      <c r="C19" s="792" t="s">
        <v>282</v>
      </c>
      <c r="D19" s="797" t="s">
        <v>134</v>
      </c>
      <c r="E19" s="629" t="s">
        <v>48</v>
      </c>
      <c r="F19" s="630" t="s">
        <v>191</v>
      </c>
      <c r="G19" s="630" t="s">
        <v>184</v>
      </c>
      <c r="H19" s="630" t="s">
        <v>183</v>
      </c>
      <c r="I19" s="630" t="s">
        <v>178</v>
      </c>
      <c r="J19" s="631">
        <v>0.9</v>
      </c>
      <c r="K19" s="658">
        <v>0.16500000000000001</v>
      </c>
      <c r="L19" s="646"/>
      <c r="M19" s="666">
        <v>0.6</v>
      </c>
      <c r="N19" s="632">
        <v>0.6</v>
      </c>
      <c r="O19" s="631">
        <v>0.53129999999999999</v>
      </c>
      <c r="P19" s="632">
        <v>0.53129999999999999</v>
      </c>
      <c r="Q19" s="601"/>
      <c r="R19" s="633">
        <v>0.84206896551724142</v>
      </c>
      <c r="S19" s="634">
        <v>0.49836734693877549</v>
      </c>
      <c r="T19" s="643">
        <f>+VLOOKUP(E19,'Base Indicadores 1'!$B$7:$AK$85,35,0)</f>
        <v>0.59183673469387743</v>
      </c>
    </row>
    <row r="20" spans="1:20" ht="30" x14ac:dyDescent="0.25">
      <c r="A20" s="287">
        <v>17</v>
      </c>
      <c r="B20" s="602" t="s">
        <v>400</v>
      </c>
      <c r="C20" s="792"/>
      <c r="D20" s="797"/>
      <c r="E20" s="615" t="s">
        <v>63</v>
      </c>
      <c r="F20" s="610" t="s">
        <v>191</v>
      </c>
      <c r="G20" s="610" t="s">
        <v>190</v>
      </c>
      <c r="H20" s="610" t="s">
        <v>204</v>
      </c>
      <c r="I20" s="610" t="s">
        <v>177</v>
      </c>
      <c r="J20" s="617">
        <v>7000</v>
      </c>
      <c r="K20" s="653">
        <v>14623</v>
      </c>
      <c r="L20" s="647"/>
      <c r="M20" s="661">
        <v>5000</v>
      </c>
      <c r="N20" s="622">
        <v>5000</v>
      </c>
      <c r="O20" s="621">
        <v>3244</v>
      </c>
      <c r="P20" s="622">
        <v>3244</v>
      </c>
      <c r="Q20" s="592"/>
      <c r="R20" s="145">
        <v>0.64880000000000004</v>
      </c>
      <c r="S20" s="230">
        <v>0.64880000000000004</v>
      </c>
      <c r="T20" s="640">
        <f>+VLOOKUP(E20,'Base Indicadores 1'!$B$7:$AK$85,35,0)</f>
        <v>0.46342857142857141</v>
      </c>
    </row>
    <row r="21" spans="1:20" ht="30" x14ac:dyDescent="0.25">
      <c r="A21" s="287">
        <v>19</v>
      </c>
      <c r="B21" s="602" t="s">
        <v>393</v>
      </c>
      <c r="C21" s="792"/>
      <c r="D21" s="797"/>
      <c r="E21" s="615" t="s">
        <v>53</v>
      </c>
      <c r="F21" s="610" t="s">
        <v>185</v>
      </c>
      <c r="G21" s="610" t="s">
        <v>187</v>
      </c>
      <c r="H21" s="610" t="s">
        <v>186</v>
      </c>
      <c r="I21" s="610" t="s">
        <v>177</v>
      </c>
      <c r="J21" s="619">
        <v>0.15</v>
      </c>
      <c r="K21" s="652">
        <v>0.19400000000000001</v>
      </c>
      <c r="L21" s="646"/>
      <c r="M21" s="660">
        <v>0.161</v>
      </c>
      <c r="N21" s="620">
        <v>0.161</v>
      </c>
      <c r="O21" s="619">
        <v>0.17100000000000001</v>
      </c>
      <c r="P21" s="620">
        <v>0.17100000000000001</v>
      </c>
      <c r="Q21" s="592"/>
      <c r="R21" s="145">
        <v>0.69696969696969668</v>
      </c>
      <c r="S21" s="230">
        <v>0.69696969696969668</v>
      </c>
      <c r="T21" s="640">
        <f>+VLOOKUP(E21,'Base Indicadores 1'!$B$7:$AK$85,35,0)</f>
        <v>0.52272727272727237</v>
      </c>
    </row>
    <row r="22" spans="1:20" ht="45" x14ac:dyDescent="0.25">
      <c r="A22" s="287">
        <v>20</v>
      </c>
      <c r="B22" s="602" t="s">
        <v>393</v>
      </c>
      <c r="C22" s="792"/>
      <c r="D22" s="797"/>
      <c r="E22" s="615" t="s">
        <v>51</v>
      </c>
      <c r="F22" s="610" t="s">
        <v>185</v>
      </c>
      <c r="G22" s="610" t="s">
        <v>190</v>
      </c>
      <c r="H22" s="610" t="s">
        <v>183</v>
      </c>
      <c r="I22" s="610" t="s">
        <v>177</v>
      </c>
      <c r="J22" s="619">
        <v>0.15</v>
      </c>
      <c r="K22" s="652">
        <v>0.1</v>
      </c>
      <c r="L22" s="646"/>
      <c r="M22" s="660">
        <v>0.13700000000000001</v>
      </c>
      <c r="N22" s="620">
        <v>0.13700000000000001</v>
      </c>
      <c r="O22" s="619">
        <v>9.0999999999999998E-2</v>
      </c>
      <c r="P22" s="620">
        <v>9.0999999999999998E-2</v>
      </c>
      <c r="Q22" s="592"/>
      <c r="R22" s="145">
        <v>0.66423357664233573</v>
      </c>
      <c r="S22" s="230">
        <v>0.66423357664233573</v>
      </c>
      <c r="T22" s="640">
        <f>+VLOOKUP(E22,'Base Indicadores 1'!$B$7:$AK$85,35,0)</f>
        <v>0.60666666666666669</v>
      </c>
    </row>
    <row r="23" spans="1:20" ht="30" x14ac:dyDescent="0.25">
      <c r="A23" s="287">
        <v>21</v>
      </c>
      <c r="B23" s="602" t="s">
        <v>393</v>
      </c>
      <c r="C23" s="792"/>
      <c r="D23" s="796"/>
      <c r="E23" s="615" t="s">
        <v>52</v>
      </c>
      <c r="F23" s="610" t="s">
        <v>191</v>
      </c>
      <c r="G23" s="610" t="s">
        <v>190</v>
      </c>
      <c r="H23" s="610" t="s">
        <v>204</v>
      </c>
      <c r="I23" s="610" t="s">
        <v>177</v>
      </c>
      <c r="J23" s="617">
        <v>150000</v>
      </c>
      <c r="K23" s="653">
        <v>168664</v>
      </c>
      <c r="L23" s="647"/>
      <c r="M23" s="667">
        <v>110715</v>
      </c>
      <c r="N23" s="618">
        <v>110715</v>
      </c>
      <c r="O23" s="617">
        <v>20855</v>
      </c>
      <c r="P23" s="618">
        <v>20855</v>
      </c>
      <c r="Q23" s="592"/>
      <c r="R23" s="145">
        <v>0.18836652666756989</v>
      </c>
      <c r="S23" s="230">
        <v>0.18836652666756989</v>
      </c>
      <c r="T23" s="640">
        <f>+VLOOKUP(E23,'Base Indicadores 1'!$B$7:$AK$85,35,0)</f>
        <v>0.13903333333333334</v>
      </c>
    </row>
    <row r="24" spans="1:20" ht="45" customHeight="1" thickBot="1" x14ac:dyDescent="0.3">
      <c r="A24" s="287">
        <v>22</v>
      </c>
      <c r="B24" s="602" t="s">
        <v>393</v>
      </c>
      <c r="C24" s="793"/>
      <c r="D24" s="608" t="s">
        <v>133</v>
      </c>
      <c r="E24" s="616" t="s">
        <v>47</v>
      </c>
      <c r="F24" s="611" t="s">
        <v>175</v>
      </c>
      <c r="G24" s="611" t="s">
        <v>184</v>
      </c>
      <c r="H24" s="611" t="s">
        <v>193</v>
      </c>
      <c r="I24" s="611" t="s">
        <v>180</v>
      </c>
      <c r="J24" s="644">
        <v>2000</v>
      </c>
      <c r="K24" s="657">
        <v>117</v>
      </c>
      <c r="L24" s="671"/>
      <c r="M24" s="665">
        <v>1000</v>
      </c>
      <c r="N24" s="645">
        <v>1000</v>
      </c>
      <c r="O24" s="644">
        <v>621</v>
      </c>
      <c r="P24" s="645">
        <v>621</v>
      </c>
      <c r="Q24" s="593"/>
      <c r="R24" s="606">
        <v>0.57078142695356737</v>
      </c>
      <c r="S24" s="641">
        <v>0.26765799256505574</v>
      </c>
      <c r="T24" s="642">
        <f>+VLOOKUP(E24,'Base Indicadores 1'!$B$7:$AK$85,35,0)</f>
        <v>0.37015400955921401</v>
      </c>
    </row>
  </sheetData>
  <autoFilter ref="A4:W24" xr:uid="{00000000-0009-0000-0000-000003000000}"/>
  <sortState xmlns:xlrd2="http://schemas.microsoft.com/office/spreadsheetml/2017/richdata2" ref="B5:T24">
    <sortCondition ref="C5:C24"/>
    <sortCondition ref="D5:D24"/>
    <sortCondition ref="B5:B24"/>
  </sortState>
  <mergeCells count="5">
    <mergeCell ref="C19:C24"/>
    <mergeCell ref="C5:C18"/>
    <mergeCell ref="D7:D8"/>
    <mergeCell ref="D9:D15"/>
    <mergeCell ref="D19:D23"/>
  </mergeCells>
  <conditionalFormatting sqref="R10:S15">
    <cfRule type="iconSet" priority="27">
      <iconSet iconSet="3TrafficLights2">
        <cfvo type="percent" val="0"/>
        <cfvo type="num" val="0.98"/>
        <cfvo type="num" val="1"/>
      </iconSet>
    </cfRule>
  </conditionalFormatting>
  <conditionalFormatting sqref="R20:S20">
    <cfRule type="iconSet" priority="25">
      <iconSet iconSet="3TrafficLights2">
        <cfvo type="percent" val="0"/>
        <cfvo type="num" val="0.98"/>
        <cfvo type="num" val="1"/>
      </iconSet>
    </cfRule>
  </conditionalFormatting>
  <conditionalFormatting sqref="R17:S17">
    <cfRule type="iconSet" priority="18">
      <iconSet iconSet="3TrafficLights2">
        <cfvo type="percent" val="0"/>
        <cfvo type="num" val="0.98"/>
        <cfvo type="num" val="1"/>
      </iconSet>
    </cfRule>
  </conditionalFormatting>
  <conditionalFormatting sqref="R5:S6">
    <cfRule type="iconSet" priority="177">
      <iconSet iconSet="3TrafficLights2">
        <cfvo type="percent" val="0"/>
        <cfvo type="num" val="0.98"/>
        <cfvo type="num" val="1"/>
      </iconSet>
    </cfRule>
  </conditionalFormatting>
  <conditionalFormatting sqref="R9:S9">
    <cfRule type="iconSet" priority="179">
      <iconSet iconSet="3TrafficLights2">
        <cfvo type="percent" val="0"/>
        <cfvo type="num" val="0.98"/>
        <cfvo type="num" val="1"/>
      </iconSet>
    </cfRule>
  </conditionalFormatting>
  <conditionalFormatting sqref="R16:S16">
    <cfRule type="iconSet" priority="180">
      <iconSet iconSet="3TrafficLights2">
        <cfvo type="percent" val="0"/>
        <cfvo type="num" val="0.98"/>
        <cfvo type="num" val="1"/>
      </iconSet>
    </cfRule>
  </conditionalFormatting>
  <conditionalFormatting sqref="R18:S18">
    <cfRule type="iconSet" priority="181">
      <iconSet iconSet="3TrafficLights2">
        <cfvo type="percent" val="0"/>
        <cfvo type="num" val="0.98"/>
        <cfvo type="num" val="1"/>
      </iconSet>
    </cfRule>
  </conditionalFormatting>
  <conditionalFormatting sqref="R22:S22">
    <cfRule type="iconSet" priority="183">
      <iconSet iconSet="3TrafficLights2">
        <cfvo type="percent" val="0"/>
        <cfvo type="num" val="0.98"/>
        <cfvo type="num" val="1"/>
      </iconSet>
    </cfRule>
  </conditionalFormatting>
  <conditionalFormatting sqref="R23:S23">
    <cfRule type="iconSet" priority="184">
      <iconSet iconSet="3TrafficLights2">
        <cfvo type="percent" val="0"/>
        <cfvo type="num" val="0.98"/>
        <cfvo type="num" val="1"/>
      </iconSet>
    </cfRule>
  </conditionalFormatting>
  <conditionalFormatting sqref="R24:S24">
    <cfRule type="iconSet" priority="185">
      <iconSet iconSet="3TrafficLights2">
        <cfvo type="percent" val="0"/>
        <cfvo type="num" val="0.98"/>
        <cfvo type="num" val="1"/>
      </iconSet>
    </cfRule>
  </conditionalFormatting>
  <conditionalFormatting sqref="R19:S19 R21:S21">
    <cfRule type="iconSet" priority="187">
      <iconSet iconSet="3TrafficLights2">
        <cfvo type="percent" val="0"/>
        <cfvo type="num" val="0.98"/>
        <cfvo type="num" val="1"/>
      </iconSet>
    </cfRule>
  </conditionalFormatting>
  <conditionalFormatting sqref="R7:S8">
    <cfRule type="iconSet" priority="190">
      <iconSet iconSet="3TrafficLights2">
        <cfvo type="percent" val="0"/>
        <cfvo type="num" val="0.98"/>
        <cfvo type="num" val="1"/>
      </iconSet>
    </cfRule>
  </conditionalFormatting>
  <conditionalFormatting sqref="T5:T24">
    <cfRule type="iconSet" priority="192">
      <iconSet iconSet="3TrafficLights2">
        <cfvo type="percent" val="0"/>
        <cfvo type="num" val="0.98"/>
        <cfvo type="num" val="1"/>
      </iconSet>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92"/>
  <sheetViews>
    <sheetView view="pageBreakPreview" zoomScale="60" zoomScaleNormal="80" workbookViewId="0">
      <selection activeCell="E14" sqref="E14"/>
    </sheetView>
  </sheetViews>
  <sheetFormatPr baseColWidth="10" defaultRowHeight="15" x14ac:dyDescent="0.25"/>
  <cols>
    <col min="1" max="1" width="6.7109375" style="376" customWidth="1"/>
    <col min="2" max="2" width="21" style="376" customWidth="1"/>
    <col min="3" max="3" width="23" style="376" customWidth="1"/>
    <col min="4" max="4" width="11.42578125" style="376"/>
    <col min="5" max="5" width="55.140625" style="377" customWidth="1"/>
    <col min="6" max="6" width="16.42578125" style="376" customWidth="1"/>
    <col min="7" max="7" width="16.140625" style="376" customWidth="1"/>
    <col min="8" max="8" width="20.5703125" style="376" customWidth="1"/>
    <col min="9" max="9" width="18" style="376" customWidth="1"/>
    <col min="10" max="10" width="20.7109375" style="376" customWidth="1"/>
    <col min="11" max="11" width="16.28515625" style="376" bestFit="1" customWidth="1"/>
    <col min="12" max="12" width="19.85546875" style="376" customWidth="1"/>
    <col min="13" max="13" width="22.85546875" style="376" customWidth="1"/>
    <col min="14" max="14" width="19.5703125" style="376" customWidth="1"/>
    <col min="15" max="15" width="21.28515625" style="376" customWidth="1"/>
    <col min="16" max="16384" width="11.42578125" style="376"/>
  </cols>
  <sheetData>
    <row r="1" spans="1:15" ht="28.5" x14ac:dyDescent="0.45">
      <c r="B1" s="829" t="s">
        <v>290</v>
      </c>
      <c r="C1" s="829"/>
      <c r="D1" s="829"/>
      <c r="E1" s="829"/>
      <c r="F1" s="829"/>
      <c r="G1" s="829"/>
      <c r="H1" s="829"/>
      <c r="I1" s="829"/>
      <c r="J1" s="829"/>
      <c r="K1" s="829"/>
      <c r="L1" s="829"/>
      <c r="M1" s="829"/>
      <c r="N1" s="829"/>
      <c r="O1" s="829"/>
    </row>
    <row r="2" spans="1:15" ht="28.5" x14ac:dyDescent="0.45">
      <c r="B2" s="829" t="s">
        <v>291</v>
      </c>
      <c r="C2" s="829"/>
      <c r="D2" s="829"/>
      <c r="E2" s="829"/>
      <c r="F2" s="829"/>
      <c r="G2" s="829"/>
      <c r="H2" s="829"/>
      <c r="I2" s="829"/>
      <c r="J2" s="829"/>
      <c r="K2" s="829"/>
      <c r="L2" s="829"/>
      <c r="M2" s="829"/>
      <c r="N2" s="829"/>
      <c r="O2" s="829"/>
    </row>
    <row r="3" spans="1:15" ht="28.5" x14ac:dyDescent="0.45">
      <c r="B3" s="382"/>
      <c r="C3" s="382"/>
      <c r="D3" s="382"/>
      <c r="E3" s="383"/>
      <c r="F3" s="382"/>
      <c r="G3" s="382"/>
      <c r="H3" s="382"/>
      <c r="I3" s="382"/>
      <c r="J3" s="384"/>
      <c r="K3" s="385"/>
      <c r="L3" s="385"/>
      <c r="M3" s="386"/>
      <c r="N3" s="385"/>
      <c r="O3" s="385"/>
    </row>
    <row r="4" spans="1:15" ht="28.5" x14ac:dyDescent="0.45">
      <c r="B4" s="829" t="s">
        <v>294</v>
      </c>
      <c r="C4" s="829"/>
      <c r="D4" s="829"/>
      <c r="E4" s="829"/>
      <c r="F4" s="829"/>
      <c r="G4" s="829"/>
      <c r="H4" s="829"/>
      <c r="I4" s="829"/>
      <c r="J4" s="829"/>
      <c r="K4" s="829"/>
      <c r="L4" s="829"/>
      <c r="M4" s="829"/>
      <c r="N4" s="829"/>
      <c r="O4" s="829"/>
    </row>
    <row r="5" spans="1:15" ht="28.5" x14ac:dyDescent="0.45">
      <c r="B5" s="829" t="s">
        <v>292</v>
      </c>
      <c r="C5" s="829"/>
      <c r="D5" s="829"/>
      <c r="E5" s="829"/>
      <c r="F5" s="829"/>
      <c r="G5" s="829"/>
      <c r="H5" s="829"/>
      <c r="I5" s="829"/>
      <c r="J5" s="829"/>
      <c r="K5" s="829"/>
      <c r="L5" s="829"/>
      <c r="M5" s="829"/>
      <c r="N5" s="829"/>
      <c r="O5" s="829"/>
    </row>
    <row r="7" spans="1:15" ht="23.25" x14ac:dyDescent="0.35">
      <c r="B7" s="378" t="s">
        <v>296</v>
      </c>
    </row>
    <row r="8" spans="1:15" ht="15.75" thickBot="1" x14ac:dyDescent="0.3"/>
    <row r="9" spans="1:15" ht="70.5" thickBot="1" x14ac:dyDescent="0.3">
      <c r="B9" s="388" t="s">
        <v>100</v>
      </c>
      <c r="C9" s="389" t="s">
        <v>122</v>
      </c>
      <c r="D9" s="389" t="s">
        <v>300</v>
      </c>
      <c r="E9" s="389" t="s">
        <v>297</v>
      </c>
      <c r="F9" s="389" t="s">
        <v>174</v>
      </c>
      <c r="G9" s="389" t="s">
        <v>299</v>
      </c>
      <c r="H9" s="389" t="s">
        <v>173</v>
      </c>
      <c r="I9" s="389" t="s">
        <v>304</v>
      </c>
      <c r="J9" s="389" t="s">
        <v>301</v>
      </c>
      <c r="K9" s="389" t="s">
        <v>215</v>
      </c>
      <c r="L9" s="389" t="s">
        <v>90</v>
      </c>
      <c r="M9" s="389" t="s">
        <v>140</v>
      </c>
      <c r="N9" s="389" t="s">
        <v>302</v>
      </c>
      <c r="O9" s="390" t="s">
        <v>303</v>
      </c>
    </row>
    <row r="10" spans="1:15" ht="77.25" customHeight="1" x14ac:dyDescent="0.25">
      <c r="A10" s="379">
        <v>1</v>
      </c>
      <c r="B10" s="391" t="s">
        <v>101</v>
      </c>
      <c r="C10" s="392" t="s">
        <v>124</v>
      </c>
      <c r="D10" s="392" t="s">
        <v>212</v>
      </c>
      <c r="E10" s="393" t="s">
        <v>27</v>
      </c>
      <c r="F10" s="392" t="s">
        <v>175</v>
      </c>
      <c r="G10" s="392" t="s">
        <v>178</v>
      </c>
      <c r="H10" s="392" t="s">
        <v>184</v>
      </c>
      <c r="I10" s="392" t="s">
        <v>196</v>
      </c>
      <c r="J10" s="394">
        <v>30693</v>
      </c>
      <c r="K10" s="394">
        <v>0</v>
      </c>
      <c r="L10" s="394">
        <v>8064</v>
      </c>
      <c r="M10" s="394">
        <v>10298</v>
      </c>
      <c r="N10" s="394">
        <v>2747</v>
      </c>
      <c r="O10" s="395">
        <v>6958</v>
      </c>
    </row>
    <row r="11" spans="1:15" ht="92.25" customHeight="1" x14ac:dyDescent="0.25">
      <c r="A11" s="379">
        <v>2</v>
      </c>
      <c r="B11" s="396" t="s">
        <v>101</v>
      </c>
      <c r="C11" s="397" t="s">
        <v>127</v>
      </c>
      <c r="D11" s="397" t="s">
        <v>211</v>
      </c>
      <c r="E11" s="398" t="s">
        <v>38</v>
      </c>
      <c r="F11" s="397" t="s">
        <v>191</v>
      </c>
      <c r="G11" s="397" t="s">
        <v>177</v>
      </c>
      <c r="H11" s="397" t="s">
        <v>184</v>
      </c>
      <c r="I11" s="397" t="s">
        <v>183</v>
      </c>
      <c r="J11" s="399">
        <v>0.22</v>
      </c>
      <c r="K11" s="399">
        <v>0</v>
      </c>
      <c r="L11" s="399">
        <v>0.15</v>
      </c>
      <c r="M11" s="399">
        <v>0.15</v>
      </c>
      <c r="N11" s="399">
        <v>0.14000000000000001</v>
      </c>
      <c r="O11" s="400">
        <v>0.14000000000000001</v>
      </c>
    </row>
    <row r="12" spans="1:15" ht="46.5" x14ac:dyDescent="0.25">
      <c r="A12" s="379">
        <v>3</v>
      </c>
      <c r="B12" s="396" t="s">
        <v>101</v>
      </c>
      <c r="C12" s="397" t="s">
        <v>127</v>
      </c>
      <c r="D12" s="397" t="s">
        <v>211</v>
      </c>
      <c r="E12" s="398" t="s">
        <v>39</v>
      </c>
      <c r="F12" s="397" t="s">
        <v>175</v>
      </c>
      <c r="G12" s="397" t="s">
        <v>177</v>
      </c>
      <c r="H12" s="397" t="s">
        <v>188</v>
      </c>
      <c r="I12" s="397" t="s">
        <v>198</v>
      </c>
      <c r="J12" s="401">
        <v>8000</v>
      </c>
      <c r="K12" s="401">
        <v>5703</v>
      </c>
      <c r="L12" s="401">
        <v>2367</v>
      </c>
      <c r="M12" s="401">
        <v>5702</v>
      </c>
      <c r="N12" s="401">
        <v>2365</v>
      </c>
      <c r="O12" s="402">
        <v>7341</v>
      </c>
    </row>
    <row r="13" spans="1:15" ht="69.75" x14ac:dyDescent="0.25">
      <c r="A13" s="379">
        <v>4</v>
      </c>
      <c r="B13" s="396" t="s">
        <v>101</v>
      </c>
      <c r="C13" s="397" t="s">
        <v>130</v>
      </c>
      <c r="D13" s="397" t="s">
        <v>212</v>
      </c>
      <c r="E13" s="398" t="s">
        <v>35</v>
      </c>
      <c r="F13" s="397" t="s">
        <v>185</v>
      </c>
      <c r="G13" s="397" t="s">
        <v>177</v>
      </c>
      <c r="H13" s="397" t="s">
        <v>187</v>
      </c>
      <c r="I13" s="397" t="s">
        <v>197</v>
      </c>
      <c r="J13" s="401">
        <v>20</v>
      </c>
      <c r="K13" s="401">
        <v>27</v>
      </c>
      <c r="L13" s="401">
        <v>22</v>
      </c>
      <c r="M13" s="401">
        <v>22</v>
      </c>
      <c r="N13" s="403">
        <v>22.98</v>
      </c>
      <c r="O13" s="404">
        <v>22.98</v>
      </c>
    </row>
    <row r="14" spans="1:15" ht="186" x14ac:dyDescent="0.25">
      <c r="A14" s="379">
        <v>5</v>
      </c>
      <c r="B14" s="396" t="s">
        <v>101</v>
      </c>
      <c r="C14" s="397" t="s">
        <v>136</v>
      </c>
      <c r="D14" s="397" t="s">
        <v>211</v>
      </c>
      <c r="E14" s="398" t="s">
        <v>68</v>
      </c>
      <c r="F14" s="397" t="s">
        <v>191</v>
      </c>
      <c r="G14" s="397" t="s">
        <v>177</v>
      </c>
      <c r="H14" s="397" t="s">
        <v>184</v>
      </c>
      <c r="I14" s="397" t="s">
        <v>183</v>
      </c>
      <c r="J14" s="399">
        <v>1</v>
      </c>
      <c r="K14" s="399">
        <v>0</v>
      </c>
      <c r="L14" s="399">
        <v>0.7</v>
      </c>
      <c r="M14" s="399">
        <v>0.7</v>
      </c>
      <c r="N14" s="399">
        <v>0.6</v>
      </c>
      <c r="O14" s="400">
        <v>0.6</v>
      </c>
    </row>
    <row r="15" spans="1:15" ht="69" customHeight="1" x14ac:dyDescent="0.25">
      <c r="A15" s="379">
        <v>6</v>
      </c>
      <c r="B15" s="396" t="s">
        <v>101</v>
      </c>
      <c r="C15" s="397" t="s">
        <v>123</v>
      </c>
      <c r="D15" s="397" t="s">
        <v>211</v>
      </c>
      <c r="E15" s="398" t="s">
        <v>24</v>
      </c>
      <c r="F15" s="397" t="s">
        <v>175</v>
      </c>
      <c r="G15" s="397" t="s">
        <v>177</v>
      </c>
      <c r="H15" s="397" t="s">
        <v>184</v>
      </c>
      <c r="I15" s="397" t="s">
        <v>193</v>
      </c>
      <c r="J15" s="401">
        <v>582001</v>
      </c>
      <c r="K15" s="401">
        <v>432372</v>
      </c>
      <c r="L15" s="401">
        <v>498798</v>
      </c>
      <c r="M15" s="401">
        <v>498798</v>
      </c>
      <c r="N15" s="401">
        <v>404271</v>
      </c>
      <c r="O15" s="402">
        <v>404271</v>
      </c>
    </row>
    <row r="16" spans="1:15" ht="76.5" customHeight="1" x14ac:dyDescent="0.25">
      <c r="A16" s="379">
        <v>7</v>
      </c>
      <c r="B16" s="396" t="s">
        <v>101</v>
      </c>
      <c r="C16" s="397" t="s">
        <v>123</v>
      </c>
      <c r="D16" s="397" t="s">
        <v>211</v>
      </c>
      <c r="E16" s="398" t="s">
        <v>17</v>
      </c>
      <c r="F16" s="397" t="s">
        <v>175</v>
      </c>
      <c r="G16" s="397" t="s">
        <v>177</v>
      </c>
      <c r="H16" s="397" t="s">
        <v>184</v>
      </c>
      <c r="I16" s="397" t="s">
        <v>193</v>
      </c>
      <c r="J16" s="401">
        <v>366740</v>
      </c>
      <c r="K16" s="401">
        <v>362740</v>
      </c>
      <c r="L16" s="401">
        <v>365740</v>
      </c>
      <c r="M16" s="401">
        <v>365740</v>
      </c>
      <c r="N16" s="401">
        <v>327111</v>
      </c>
      <c r="O16" s="402">
        <v>327111</v>
      </c>
    </row>
    <row r="17" spans="1:15" ht="69" customHeight="1" x14ac:dyDescent="0.25">
      <c r="A17" s="379">
        <v>8</v>
      </c>
      <c r="B17" s="396" t="s">
        <v>101</v>
      </c>
      <c r="C17" s="397" t="s">
        <v>123</v>
      </c>
      <c r="D17" s="397" t="s">
        <v>211</v>
      </c>
      <c r="E17" s="398" t="s">
        <v>14</v>
      </c>
      <c r="F17" s="397" t="s">
        <v>175</v>
      </c>
      <c r="G17" s="397" t="s">
        <v>177</v>
      </c>
      <c r="H17" s="397" t="s">
        <v>184</v>
      </c>
      <c r="I17" s="397" t="s">
        <v>193</v>
      </c>
      <c r="J17" s="401">
        <v>113658</v>
      </c>
      <c r="K17" s="401">
        <v>109658</v>
      </c>
      <c r="L17" s="401">
        <v>112658</v>
      </c>
      <c r="M17" s="401">
        <v>112658</v>
      </c>
      <c r="N17" s="401">
        <v>112959</v>
      </c>
      <c r="O17" s="402">
        <v>112959</v>
      </c>
    </row>
    <row r="18" spans="1:15" ht="46.5" x14ac:dyDescent="0.25">
      <c r="A18" s="379">
        <v>9</v>
      </c>
      <c r="B18" s="396" t="s">
        <v>101</v>
      </c>
      <c r="C18" s="397" t="s">
        <v>127</v>
      </c>
      <c r="D18" s="397" t="s">
        <v>212</v>
      </c>
      <c r="E18" s="398" t="s">
        <v>42</v>
      </c>
      <c r="F18" s="397" t="s">
        <v>185</v>
      </c>
      <c r="G18" s="397" t="s">
        <v>177</v>
      </c>
      <c r="H18" s="397" t="s">
        <v>184</v>
      </c>
      <c r="I18" s="397" t="s">
        <v>201</v>
      </c>
      <c r="J18" s="399">
        <v>5.6090000000000001E-2</v>
      </c>
      <c r="K18" s="399">
        <v>5.0700000000000002E-2</v>
      </c>
      <c r="L18" s="399">
        <v>5.3999999999999999E-2</v>
      </c>
      <c r="M18" s="399">
        <v>5.3999999999999999E-2</v>
      </c>
      <c r="N18" s="399">
        <v>5.67E-2</v>
      </c>
      <c r="O18" s="400">
        <v>5.67E-2</v>
      </c>
    </row>
    <row r="19" spans="1:15" ht="69.75" x14ac:dyDescent="0.25">
      <c r="A19" s="379">
        <v>10</v>
      </c>
      <c r="B19" s="396" t="s">
        <v>101</v>
      </c>
      <c r="C19" s="397" t="s">
        <v>126</v>
      </c>
      <c r="D19" s="397" t="s">
        <v>212</v>
      </c>
      <c r="E19" s="398" t="s">
        <v>11</v>
      </c>
      <c r="F19" s="397" t="s">
        <v>191</v>
      </c>
      <c r="G19" s="397" t="s">
        <v>177</v>
      </c>
      <c r="H19" s="397" t="s">
        <v>190</v>
      </c>
      <c r="I19" s="397" t="s">
        <v>192</v>
      </c>
      <c r="J19" s="401">
        <v>776300</v>
      </c>
      <c r="K19" s="401">
        <v>419082</v>
      </c>
      <c r="L19" s="401">
        <v>35000</v>
      </c>
      <c r="M19" s="401">
        <v>746300</v>
      </c>
      <c r="N19" s="401">
        <v>52634</v>
      </c>
      <c r="O19" s="402">
        <v>628452</v>
      </c>
    </row>
    <row r="20" spans="1:15" ht="69.75" x14ac:dyDescent="0.25">
      <c r="A20" s="379">
        <v>11</v>
      </c>
      <c r="B20" s="396" t="s">
        <v>101</v>
      </c>
      <c r="C20" s="397" t="s">
        <v>127</v>
      </c>
      <c r="D20" s="397" t="s">
        <v>212</v>
      </c>
      <c r="E20" s="398" t="s">
        <v>43</v>
      </c>
      <c r="F20" s="397" t="s">
        <v>185</v>
      </c>
      <c r="G20" s="397" t="s">
        <v>177</v>
      </c>
      <c r="H20" s="397" t="s">
        <v>184</v>
      </c>
      <c r="I20" s="397" t="s">
        <v>202</v>
      </c>
      <c r="J20" s="401">
        <v>2720</v>
      </c>
      <c r="K20" s="401">
        <v>2012</v>
      </c>
      <c r="L20" s="401">
        <v>2545</v>
      </c>
      <c r="M20" s="401">
        <v>2545</v>
      </c>
      <c r="N20" s="401">
        <v>2808</v>
      </c>
      <c r="O20" s="402">
        <v>2808</v>
      </c>
    </row>
    <row r="21" spans="1:15" ht="69.75" x14ac:dyDescent="0.25">
      <c r="A21" s="379">
        <v>12</v>
      </c>
      <c r="B21" s="396" t="s">
        <v>101</v>
      </c>
      <c r="C21" s="397" t="s">
        <v>129</v>
      </c>
      <c r="D21" s="397" t="s">
        <v>212</v>
      </c>
      <c r="E21" s="398" t="s">
        <v>44</v>
      </c>
      <c r="F21" s="397" t="s">
        <v>175</v>
      </c>
      <c r="G21" s="397" t="s">
        <v>178</v>
      </c>
      <c r="H21" s="397" t="s">
        <v>184</v>
      </c>
      <c r="I21" s="397" t="s">
        <v>193</v>
      </c>
      <c r="J21" s="401">
        <v>1500000</v>
      </c>
      <c r="K21" s="401">
        <v>0</v>
      </c>
      <c r="L21" s="401">
        <v>1000000</v>
      </c>
      <c r="M21" s="401">
        <v>1000000</v>
      </c>
      <c r="N21" s="401">
        <v>730411</v>
      </c>
      <c r="O21" s="402">
        <v>730411</v>
      </c>
    </row>
    <row r="22" spans="1:15" ht="139.5" x14ac:dyDescent="0.25">
      <c r="A22" s="379">
        <v>13</v>
      </c>
      <c r="B22" s="396" t="s">
        <v>101</v>
      </c>
      <c r="C22" s="397" t="s">
        <v>126</v>
      </c>
      <c r="D22" s="397" t="s">
        <v>211</v>
      </c>
      <c r="E22" s="398" t="s">
        <v>78</v>
      </c>
      <c r="F22" s="397" t="s">
        <v>175</v>
      </c>
      <c r="G22" s="397" t="s">
        <v>177</v>
      </c>
      <c r="H22" s="397" t="s">
        <v>188</v>
      </c>
      <c r="I22" s="397" t="s">
        <v>183</v>
      </c>
      <c r="J22" s="399">
        <v>1</v>
      </c>
      <c r="K22" s="399" t="s">
        <v>260</v>
      </c>
      <c r="L22" s="399">
        <v>0.5</v>
      </c>
      <c r="M22" s="399">
        <v>0.5</v>
      </c>
      <c r="N22" s="399">
        <v>0.9</v>
      </c>
      <c r="O22" s="400">
        <v>0.9</v>
      </c>
    </row>
    <row r="23" spans="1:15" ht="69.75" x14ac:dyDescent="0.25">
      <c r="A23" s="379">
        <v>14</v>
      </c>
      <c r="B23" s="396" t="s">
        <v>101</v>
      </c>
      <c r="C23" s="397" t="s">
        <v>127</v>
      </c>
      <c r="D23" s="397" t="s">
        <v>212</v>
      </c>
      <c r="E23" s="398" t="s">
        <v>29</v>
      </c>
      <c r="F23" s="397" t="s">
        <v>185</v>
      </c>
      <c r="G23" s="397" t="s">
        <v>180</v>
      </c>
      <c r="H23" s="397" t="s">
        <v>184</v>
      </c>
      <c r="I23" s="397" t="s">
        <v>183</v>
      </c>
      <c r="J23" s="399">
        <v>0.45</v>
      </c>
      <c r="K23" s="399">
        <v>0.33300000000000002</v>
      </c>
      <c r="L23" s="399">
        <v>0.42099999999999999</v>
      </c>
      <c r="M23" s="399">
        <v>0.42099999999999999</v>
      </c>
      <c r="N23" s="399">
        <v>0.45400000000000001</v>
      </c>
      <c r="O23" s="400">
        <v>0.45400000000000001</v>
      </c>
    </row>
    <row r="24" spans="1:15" ht="69.75" x14ac:dyDescent="0.25">
      <c r="A24" s="379">
        <v>15</v>
      </c>
      <c r="B24" s="396" t="s">
        <v>101</v>
      </c>
      <c r="C24" s="397" t="s">
        <v>127</v>
      </c>
      <c r="D24" s="397" t="s">
        <v>212</v>
      </c>
      <c r="E24" s="398" t="s">
        <v>157</v>
      </c>
      <c r="F24" s="397" t="s">
        <v>175</v>
      </c>
      <c r="G24" s="397" t="s">
        <v>177</v>
      </c>
      <c r="H24" s="397" t="s">
        <v>184</v>
      </c>
      <c r="I24" s="397" t="s">
        <v>183</v>
      </c>
      <c r="J24" s="399" t="s">
        <v>266</v>
      </c>
      <c r="K24" s="399">
        <v>0.29399999999999998</v>
      </c>
      <c r="L24" s="399" t="s">
        <v>267</v>
      </c>
      <c r="M24" s="399" t="s">
        <v>293</v>
      </c>
      <c r="N24" s="399" t="s">
        <v>279</v>
      </c>
      <c r="O24" s="400" t="s">
        <v>279</v>
      </c>
    </row>
    <row r="25" spans="1:15" ht="69.75" x14ac:dyDescent="0.25">
      <c r="A25" s="379">
        <v>16</v>
      </c>
      <c r="B25" s="396" t="s">
        <v>101</v>
      </c>
      <c r="C25" s="397" t="s">
        <v>129</v>
      </c>
      <c r="D25" s="397" t="s">
        <v>212</v>
      </c>
      <c r="E25" s="398" t="s">
        <v>32</v>
      </c>
      <c r="F25" s="397" t="s">
        <v>175</v>
      </c>
      <c r="G25" s="397" t="s">
        <v>178</v>
      </c>
      <c r="H25" s="397" t="s">
        <v>184</v>
      </c>
      <c r="I25" s="397" t="s">
        <v>183</v>
      </c>
      <c r="J25" s="399">
        <v>0.2</v>
      </c>
      <c r="K25" s="399">
        <v>0</v>
      </c>
      <c r="L25" s="399">
        <v>0.13</v>
      </c>
      <c r="M25" s="399">
        <v>0.13</v>
      </c>
      <c r="N25" s="399">
        <v>0.10009999999999999</v>
      </c>
      <c r="O25" s="400">
        <v>0.10009999999999999</v>
      </c>
    </row>
    <row r="26" spans="1:15" ht="116.25" x14ac:dyDescent="0.25">
      <c r="A26" s="379">
        <v>17</v>
      </c>
      <c r="B26" s="396" t="s">
        <v>101</v>
      </c>
      <c r="C26" s="397" t="s">
        <v>128</v>
      </c>
      <c r="D26" s="397" t="s">
        <v>211</v>
      </c>
      <c r="E26" s="398" t="s">
        <v>31</v>
      </c>
      <c r="F26" s="397" t="s">
        <v>185</v>
      </c>
      <c r="G26" s="397" t="s">
        <v>177</v>
      </c>
      <c r="H26" s="397" t="s">
        <v>184</v>
      </c>
      <c r="I26" s="397" t="s">
        <v>183</v>
      </c>
      <c r="J26" s="399">
        <v>0.08</v>
      </c>
      <c r="K26" s="399">
        <v>2.2599999999999999E-2</v>
      </c>
      <c r="L26" s="399">
        <v>0.06</v>
      </c>
      <c r="M26" s="399">
        <v>0.06</v>
      </c>
      <c r="N26" s="399">
        <v>4.7500000000000001E-2</v>
      </c>
      <c r="O26" s="400">
        <v>4.7500000000000001E-2</v>
      </c>
    </row>
    <row r="27" spans="1:15" ht="116.25" x14ac:dyDescent="0.25">
      <c r="A27" s="379">
        <v>18</v>
      </c>
      <c r="B27" s="396" t="s">
        <v>101</v>
      </c>
      <c r="C27" s="397" t="s">
        <v>130</v>
      </c>
      <c r="D27" s="397" t="s">
        <v>211</v>
      </c>
      <c r="E27" s="398" t="s">
        <v>33</v>
      </c>
      <c r="F27" s="397" t="s">
        <v>185</v>
      </c>
      <c r="G27" s="397" t="s">
        <v>177</v>
      </c>
      <c r="H27" s="397" t="s">
        <v>184</v>
      </c>
      <c r="I27" s="397" t="s">
        <v>183</v>
      </c>
      <c r="J27" s="399">
        <v>0.309</v>
      </c>
      <c r="K27" s="399">
        <v>0.27700000000000002</v>
      </c>
      <c r="L27" s="399">
        <v>0.30099999999999999</v>
      </c>
      <c r="M27" s="399">
        <v>0.30099999999999999</v>
      </c>
      <c r="N27" s="399">
        <v>0.32129999999999997</v>
      </c>
      <c r="O27" s="400">
        <v>0.32129999999999997</v>
      </c>
    </row>
    <row r="28" spans="1:15" ht="116.25" x14ac:dyDescent="0.25">
      <c r="A28" s="379">
        <v>19</v>
      </c>
      <c r="B28" s="396" t="s">
        <v>101</v>
      </c>
      <c r="C28" s="397" t="s">
        <v>130</v>
      </c>
      <c r="D28" s="397" t="s">
        <v>211</v>
      </c>
      <c r="E28" s="398" t="s">
        <v>34</v>
      </c>
      <c r="F28" s="397" t="s">
        <v>191</v>
      </c>
      <c r="G28" s="397" t="s">
        <v>177</v>
      </c>
      <c r="H28" s="397" t="s">
        <v>184</v>
      </c>
      <c r="I28" s="397" t="s">
        <v>183</v>
      </c>
      <c r="J28" s="399">
        <v>0.29899999999999999</v>
      </c>
      <c r="K28" s="399">
        <v>0.217</v>
      </c>
      <c r="L28" s="399">
        <v>0.27900000000000003</v>
      </c>
      <c r="M28" s="399">
        <v>0.27900000000000003</v>
      </c>
      <c r="N28" s="399">
        <v>0.2084</v>
      </c>
      <c r="O28" s="400">
        <v>0.2084</v>
      </c>
    </row>
    <row r="29" spans="1:15" ht="139.5" x14ac:dyDescent="0.25">
      <c r="A29" s="379">
        <v>20</v>
      </c>
      <c r="B29" s="396" t="s">
        <v>101</v>
      </c>
      <c r="C29" s="397" t="s">
        <v>138</v>
      </c>
      <c r="D29" s="397" t="s">
        <v>211</v>
      </c>
      <c r="E29" s="398" t="s">
        <v>76</v>
      </c>
      <c r="F29" s="397" t="s">
        <v>175</v>
      </c>
      <c r="G29" s="397" t="s">
        <v>178</v>
      </c>
      <c r="H29" s="397" t="s">
        <v>184</v>
      </c>
      <c r="I29" s="397" t="s">
        <v>183</v>
      </c>
      <c r="J29" s="399">
        <v>0.5</v>
      </c>
      <c r="K29" s="399" t="s">
        <v>260</v>
      </c>
      <c r="L29" s="399">
        <v>0.3</v>
      </c>
      <c r="M29" s="399">
        <v>0.3</v>
      </c>
      <c r="N29" s="399">
        <v>0.18</v>
      </c>
      <c r="O29" s="400">
        <v>0.18</v>
      </c>
    </row>
    <row r="30" spans="1:15" ht="116.25" x14ac:dyDescent="0.25">
      <c r="A30" s="379">
        <v>21</v>
      </c>
      <c r="B30" s="396" t="s">
        <v>101</v>
      </c>
      <c r="C30" s="397" t="s">
        <v>137</v>
      </c>
      <c r="D30" s="397" t="s">
        <v>211</v>
      </c>
      <c r="E30" s="398" t="s">
        <v>73</v>
      </c>
      <c r="F30" s="397" t="s">
        <v>179</v>
      </c>
      <c r="G30" s="397" t="s">
        <v>178</v>
      </c>
      <c r="H30" s="397" t="s">
        <v>182</v>
      </c>
      <c r="I30" s="397" t="s">
        <v>183</v>
      </c>
      <c r="J30" s="399">
        <v>1</v>
      </c>
      <c r="K30" s="399" t="s">
        <v>260</v>
      </c>
      <c r="L30" s="399">
        <v>1</v>
      </c>
      <c r="M30" s="399">
        <v>1</v>
      </c>
      <c r="N30" s="399">
        <v>0.04</v>
      </c>
      <c r="O30" s="400">
        <v>0.04</v>
      </c>
    </row>
    <row r="31" spans="1:15" ht="116.25" x14ac:dyDescent="0.25">
      <c r="A31" s="379">
        <v>22</v>
      </c>
      <c r="B31" s="396" t="s">
        <v>101</v>
      </c>
      <c r="C31" s="397" t="s">
        <v>137</v>
      </c>
      <c r="D31" s="397" t="s">
        <v>211</v>
      </c>
      <c r="E31" s="398" t="s">
        <v>72</v>
      </c>
      <c r="F31" s="397" t="s">
        <v>179</v>
      </c>
      <c r="G31" s="397" t="s">
        <v>178</v>
      </c>
      <c r="H31" s="397" t="s">
        <v>182</v>
      </c>
      <c r="I31" s="397" t="s">
        <v>183</v>
      </c>
      <c r="J31" s="399">
        <v>0.85</v>
      </c>
      <c r="K31" s="399" t="s">
        <v>260</v>
      </c>
      <c r="L31" s="399">
        <v>0.8</v>
      </c>
      <c r="M31" s="399">
        <v>0.8</v>
      </c>
      <c r="N31" s="399">
        <v>0.73399999999999999</v>
      </c>
      <c r="O31" s="400">
        <v>0.73399999999999999</v>
      </c>
    </row>
    <row r="32" spans="1:15" ht="93" x14ac:dyDescent="0.25">
      <c r="A32" s="379">
        <v>23</v>
      </c>
      <c r="B32" s="396" t="s">
        <v>101</v>
      </c>
      <c r="C32" s="397" t="s">
        <v>127</v>
      </c>
      <c r="D32" s="397" t="s">
        <v>211</v>
      </c>
      <c r="E32" s="398" t="s">
        <v>36</v>
      </c>
      <c r="F32" s="397" t="s">
        <v>185</v>
      </c>
      <c r="G32" s="397" t="s">
        <v>177</v>
      </c>
      <c r="H32" s="397" t="s">
        <v>184</v>
      </c>
      <c r="I32" s="397" t="s">
        <v>183</v>
      </c>
      <c r="J32" s="399">
        <v>0.75</v>
      </c>
      <c r="K32" s="399">
        <v>0.53100000000000003</v>
      </c>
      <c r="L32" s="399">
        <v>0.69599999999999995</v>
      </c>
      <c r="M32" s="399">
        <v>0.69599999999999995</v>
      </c>
      <c r="N32" s="399">
        <v>0.57699999999999996</v>
      </c>
      <c r="O32" s="400">
        <v>0.57699999999999996</v>
      </c>
    </row>
    <row r="33" spans="1:15" ht="162.75" x14ac:dyDescent="0.25">
      <c r="A33" s="379">
        <v>24</v>
      </c>
      <c r="B33" s="396" t="s">
        <v>101</v>
      </c>
      <c r="C33" s="397" t="s">
        <v>136</v>
      </c>
      <c r="D33" s="397" t="s">
        <v>211</v>
      </c>
      <c r="E33" s="398" t="s">
        <v>69</v>
      </c>
      <c r="F33" s="397" t="s">
        <v>191</v>
      </c>
      <c r="G33" s="397" t="s">
        <v>177</v>
      </c>
      <c r="H33" s="397" t="s">
        <v>184</v>
      </c>
      <c r="I33" s="397" t="s">
        <v>183</v>
      </c>
      <c r="J33" s="399">
        <v>1</v>
      </c>
      <c r="K33" s="399">
        <v>0</v>
      </c>
      <c r="L33" s="399">
        <v>0.5</v>
      </c>
      <c r="M33" s="399">
        <v>0.5</v>
      </c>
      <c r="N33" s="399">
        <v>0.2</v>
      </c>
      <c r="O33" s="400">
        <v>0.2</v>
      </c>
    </row>
    <row r="34" spans="1:15" ht="69.75" x14ac:dyDescent="0.25">
      <c r="A34" s="379">
        <v>25</v>
      </c>
      <c r="B34" s="396" t="s">
        <v>101</v>
      </c>
      <c r="C34" s="397" t="s">
        <v>123</v>
      </c>
      <c r="D34" s="397" t="s">
        <v>211</v>
      </c>
      <c r="E34" s="398" t="s">
        <v>4</v>
      </c>
      <c r="F34" s="397" t="s">
        <v>185</v>
      </c>
      <c r="G34" s="397" t="s">
        <v>177</v>
      </c>
      <c r="H34" s="397" t="s">
        <v>184</v>
      </c>
      <c r="I34" s="397" t="s">
        <v>183</v>
      </c>
      <c r="J34" s="399">
        <v>0.93</v>
      </c>
      <c r="K34" s="399">
        <v>0.871</v>
      </c>
      <c r="L34" s="399">
        <v>0.91681999999999997</v>
      </c>
      <c r="M34" s="399">
        <v>0.91681999999999997</v>
      </c>
      <c r="N34" s="399">
        <v>0.86040000000000005</v>
      </c>
      <c r="O34" s="400">
        <v>0.86040000000000005</v>
      </c>
    </row>
    <row r="35" spans="1:15" ht="116.25" x14ac:dyDescent="0.25">
      <c r="A35" s="379">
        <v>26</v>
      </c>
      <c r="B35" s="396" t="s">
        <v>101</v>
      </c>
      <c r="C35" s="397" t="s">
        <v>138</v>
      </c>
      <c r="D35" s="397" t="s">
        <v>211</v>
      </c>
      <c r="E35" s="398" t="s">
        <v>295</v>
      </c>
      <c r="F35" s="397" t="s">
        <v>175</v>
      </c>
      <c r="G35" s="397" t="s">
        <v>178</v>
      </c>
      <c r="H35" s="397" t="s">
        <v>184</v>
      </c>
      <c r="I35" s="397" t="s">
        <v>209</v>
      </c>
      <c r="J35" s="401">
        <v>95</v>
      </c>
      <c r="K35" s="401">
        <v>94</v>
      </c>
      <c r="L35" s="401">
        <v>95</v>
      </c>
      <c r="M35" s="401">
        <v>95</v>
      </c>
      <c r="N35" s="401">
        <v>73</v>
      </c>
      <c r="O35" s="402">
        <v>73</v>
      </c>
    </row>
    <row r="36" spans="1:15" ht="69.75" x14ac:dyDescent="0.25">
      <c r="A36" s="379">
        <v>27</v>
      </c>
      <c r="B36" s="396" t="s">
        <v>101</v>
      </c>
      <c r="C36" s="397" t="s">
        <v>123</v>
      </c>
      <c r="D36" s="397" t="s">
        <v>211</v>
      </c>
      <c r="E36" s="398" t="s">
        <v>25</v>
      </c>
      <c r="F36" s="397" t="s">
        <v>191</v>
      </c>
      <c r="G36" s="397" t="s">
        <v>177</v>
      </c>
      <c r="H36" s="397" t="s">
        <v>190</v>
      </c>
      <c r="I36" s="397" t="s">
        <v>194</v>
      </c>
      <c r="J36" s="401">
        <v>3869</v>
      </c>
      <c r="K36" s="401">
        <v>5258</v>
      </c>
      <c r="L36" s="401">
        <v>3844</v>
      </c>
      <c r="M36" s="401">
        <v>3844</v>
      </c>
      <c r="N36" s="401">
        <v>4525</v>
      </c>
      <c r="O36" s="402">
        <v>4525</v>
      </c>
    </row>
    <row r="37" spans="1:15" ht="69.75" x14ac:dyDescent="0.25">
      <c r="A37" s="379">
        <v>28</v>
      </c>
      <c r="B37" s="396" t="s">
        <v>101</v>
      </c>
      <c r="C37" s="397" t="s">
        <v>123</v>
      </c>
      <c r="D37" s="397" t="s">
        <v>211</v>
      </c>
      <c r="E37" s="398" t="s">
        <v>22</v>
      </c>
      <c r="F37" s="397" t="s">
        <v>175</v>
      </c>
      <c r="G37" s="397" t="s">
        <v>177</v>
      </c>
      <c r="H37" s="397" t="s">
        <v>184</v>
      </c>
      <c r="I37" s="397" t="s">
        <v>194</v>
      </c>
      <c r="J37" s="401">
        <v>812</v>
      </c>
      <c r="K37" s="401">
        <v>784</v>
      </c>
      <c r="L37" s="401">
        <v>807</v>
      </c>
      <c r="M37" s="401">
        <v>807</v>
      </c>
      <c r="N37" s="401">
        <v>800</v>
      </c>
      <c r="O37" s="402">
        <v>800</v>
      </c>
    </row>
    <row r="38" spans="1:15" ht="69.75" x14ac:dyDescent="0.25">
      <c r="A38" s="379">
        <v>29</v>
      </c>
      <c r="B38" s="396" t="s">
        <v>101</v>
      </c>
      <c r="C38" s="397" t="s">
        <v>123</v>
      </c>
      <c r="D38" s="397" t="s">
        <v>211</v>
      </c>
      <c r="E38" s="398" t="s">
        <v>15</v>
      </c>
      <c r="F38" s="397" t="s">
        <v>175</v>
      </c>
      <c r="G38" s="397" t="s">
        <v>177</v>
      </c>
      <c r="H38" s="397" t="s">
        <v>184</v>
      </c>
      <c r="I38" s="397" t="s">
        <v>194</v>
      </c>
      <c r="J38" s="401">
        <v>311</v>
      </c>
      <c r="K38" s="401">
        <v>251</v>
      </c>
      <c r="L38" s="401">
        <v>299</v>
      </c>
      <c r="M38" s="401">
        <v>299</v>
      </c>
      <c r="N38" s="401">
        <v>242</v>
      </c>
      <c r="O38" s="402">
        <v>242</v>
      </c>
    </row>
    <row r="39" spans="1:15" ht="69.75" x14ac:dyDescent="0.25">
      <c r="A39" s="379">
        <v>30</v>
      </c>
      <c r="B39" s="396" t="s">
        <v>101</v>
      </c>
      <c r="C39" s="397" t="s">
        <v>123</v>
      </c>
      <c r="D39" s="397" t="s">
        <v>211</v>
      </c>
      <c r="E39" s="398" t="s">
        <v>18</v>
      </c>
      <c r="F39" s="397" t="s">
        <v>175</v>
      </c>
      <c r="G39" s="397" t="s">
        <v>177</v>
      </c>
      <c r="H39" s="397" t="s">
        <v>184</v>
      </c>
      <c r="I39" s="397" t="s">
        <v>194</v>
      </c>
      <c r="J39" s="401">
        <v>5915</v>
      </c>
      <c r="K39" s="401">
        <v>5515</v>
      </c>
      <c r="L39" s="401">
        <v>5815</v>
      </c>
      <c r="M39" s="401">
        <v>5815</v>
      </c>
      <c r="N39" s="401">
        <v>5654</v>
      </c>
      <c r="O39" s="402">
        <v>5654</v>
      </c>
    </row>
    <row r="40" spans="1:15" ht="69.75" x14ac:dyDescent="0.25">
      <c r="A40" s="379">
        <v>31</v>
      </c>
      <c r="B40" s="396" t="s">
        <v>101</v>
      </c>
      <c r="C40" s="397" t="s">
        <v>124</v>
      </c>
      <c r="D40" s="397" t="s">
        <v>211</v>
      </c>
      <c r="E40" s="398" t="s">
        <v>7</v>
      </c>
      <c r="F40" s="397" t="s">
        <v>175</v>
      </c>
      <c r="G40" s="397" t="s">
        <v>177</v>
      </c>
      <c r="H40" s="397" t="s">
        <v>188</v>
      </c>
      <c r="I40" s="397" t="s">
        <v>189</v>
      </c>
      <c r="J40" s="401">
        <v>1000</v>
      </c>
      <c r="K40" s="401">
        <v>168</v>
      </c>
      <c r="L40" s="401">
        <v>350</v>
      </c>
      <c r="M40" s="401">
        <v>350</v>
      </c>
      <c r="N40" s="401">
        <v>62</v>
      </c>
      <c r="O40" s="402">
        <v>62</v>
      </c>
    </row>
    <row r="41" spans="1:15" ht="69.75" x14ac:dyDescent="0.25">
      <c r="A41" s="379">
        <v>32</v>
      </c>
      <c r="B41" s="396" t="s">
        <v>101</v>
      </c>
      <c r="C41" s="397" t="s">
        <v>124</v>
      </c>
      <c r="D41" s="397" t="s">
        <v>211</v>
      </c>
      <c r="E41" s="398" t="s">
        <v>20</v>
      </c>
      <c r="F41" s="397" t="s">
        <v>175</v>
      </c>
      <c r="G41" s="397" t="s">
        <v>177</v>
      </c>
      <c r="H41" s="397" t="s">
        <v>184</v>
      </c>
      <c r="I41" s="397" t="s">
        <v>194</v>
      </c>
      <c r="J41" s="401">
        <v>100</v>
      </c>
      <c r="K41" s="401">
        <v>0</v>
      </c>
      <c r="L41" s="401">
        <v>20</v>
      </c>
      <c r="M41" s="401">
        <v>80</v>
      </c>
      <c r="N41" s="401">
        <v>21</v>
      </c>
      <c r="O41" s="402">
        <v>144</v>
      </c>
    </row>
    <row r="42" spans="1:15" ht="69.75" x14ac:dyDescent="0.25">
      <c r="A42" s="379">
        <v>33</v>
      </c>
      <c r="B42" s="396" t="s">
        <v>101</v>
      </c>
      <c r="C42" s="397" t="s">
        <v>137</v>
      </c>
      <c r="D42" s="397" t="s">
        <v>211</v>
      </c>
      <c r="E42" s="398" t="s">
        <v>71</v>
      </c>
      <c r="F42" s="397" t="s">
        <v>175</v>
      </c>
      <c r="G42" s="397" t="s">
        <v>177</v>
      </c>
      <c r="H42" s="397" t="s">
        <v>188</v>
      </c>
      <c r="I42" s="397" t="s">
        <v>195</v>
      </c>
      <c r="J42" s="401">
        <v>46000</v>
      </c>
      <c r="K42" s="401">
        <v>43429</v>
      </c>
      <c r="L42" s="401">
        <v>15000</v>
      </c>
      <c r="M42" s="401">
        <v>31000</v>
      </c>
      <c r="N42" s="401">
        <v>1210</v>
      </c>
      <c r="O42" s="402">
        <v>4635</v>
      </c>
    </row>
    <row r="43" spans="1:15" ht="69.75" x14ac:dyDescent="0.25">
      <c r="A43" s="379">
        <v>34</v>
      </c>
      <c r="B43" s="396" t="s">
        <v>101</v>
      </c>
      <c r="C43" s="397" t="s">
        <v>126</v>
      </c>
      <c r="D43" s="397" t="s">
        <v>212</v>
      </c>
      <c r="E43" s="398" t="s">
        <v>10</v>
      </c>
      <c r="F43" s="397" t="s">
        <v>185</v>
      </c>
      <c r="G43" s="397" t="s">
        <v>177</v>
      </c>
      <c r="H43" s="397" t="s">
        <v>187</v>
      </c>
      <c r="I43" s="397" t="s">
        <v>186</v>
      </c>
      <c r="J43" s="399">
        <v>5.1700000000000003E-2</v>
      </c>
      <c r="K43" s="399">
        <v>5.8099999999999999E-2</v>
      </c>
      <c r="L43" s="399">
        <v>5.2499999999999998E-2</v>
      </c>
      <c r="M43" s="399">
        <v>5.2499999999999998E-2</v>
      </c>
      <c r="N43" s="399">
        <v>5.2400000000000002E-2</v>
      </c>
      <c r="O43" s="400">
        <v>5.2400000000000002E-2</v>
      </c>
    </row>
    <row r="44" spans="1:15" ht="69.75" x14ac:dyDescent="0.25">
      <c r="A44" s="379">
        <v>35</v>
      </c>
      <c r="B44" s="396" t="s">
        <v>101</v>
      </c>
      <c r="C44" s="397" t="s">
        <v>123</v>
      </c>
      <c r="D44" s="397" t="s">
        <v>211</v>
      </c>
      <c r="E44" s="398" t="s">
        <v>13</v>
      </c>
      <c r="F44" s="397" t="s">
        <v>185</v>
      </c>
      <c r="G44" s="397" t="s">
        <v>177</v>
      </c>
      <c r="H44" s="397" t="s">
        <v>184</v>
      </c>
      <c r="I44" s="397" t="s">
        <v>186</v>
      </c>
      <c r="J44" s="399">
        <v>0.71130000000000004</v>
      </c>
      <c r="K44" s="399">
        <v>0.60740000000000005</v>
      </c>
      <c r="L44" s="399">
        <v>0.70930000000000004</v>
      </c>
      <c r="M44" s="399">
        <v>0.70930000000000004</v>
      </c>
      <c r="N44" s="399">
        <v>0.75449999999999995</v>
      </c>
      <c r="O44" s="400">
        <v>0.75449999999999995</v>
      </c>
    </row>
    <row r="45" spans="1:15" ht="69.75" x14ac:dyDescent="0.25">
      <c r="A45" s="379">
        <v>36</v>
      </c>
      <c r="B45" s="396" t="s">
        <v>101</v>
      </c>
      <c r="C45" s="397" t="s">
        <v>123</v>
      </c>
      <c r="D45" s="397" t="s">
        <v>211</v>
      </c>
      <c r="E45" s="398" t="s">
        <v>2</v>
      </c>
      <c r="F45" s="397" t="s">
        <v>185</v>
      </c>
      <c r="G45" s="397" t="s">
        <v>177</v>
      </c>
      <c r="H45" s="397" t="s">
        <v>184</v>
      </c>
      <c r="I45" s="397" t="s">
        <v>186</v>
      </c>
      <c r="J45" s="399">
        <v>0.83</v>
      </c>
      <c r="K45" s="399">
        <v>0.77300000000000002</v>
      </c>
      <c r="L45" s="399">
        <v>0.81899999999999995</v>
      </c>
      <c r="M45" s="399">
        <v>0.81899999999999995</v>
      </c>
      <c r="N45" s="399">
        <v>0.80110000000000003</v>
      </c>
      <c r="O45" s="400">
        <v>0.80110000000000003</v>
      </c>
    </row>
    <row r="46" spans="1:15" ht="69.75" x14ac:dyDescent="0.25">
      <c r="A46" s="379">
        <v>37</v>
      </c>
      <c r="B46" s="396" t="s">
        <v>101</v>
      </c>
      <c r="C46" s="397" t="s">
        <v>123</v>
      </c>
      <c r="D46" s="397" t="s">
        <v>211</v>
      </c>
      <c r="E46" s="398" t="s">
        <v>16</v>
      </c>
      <c r="F46" s="397" t="s">
        <v>185</v>
      </c>
      <c r="G46" s="397" t="s">
        <v>177</v>
      </c>
      <c r="H46" s="397" t="s">
        <v>190</v>
      </c>
      <c r="I46" s="397" t="s">
        <v>186</v>
      </c>
      <c r="J46" s="399">
        <v>0.78320000000000001</v>
      </c>
      <c r="K46" s="399">
        <v>0.73309999999999997</v>
      </c>
      <c r="L46" s="399">
        <v>0.7681</v>
      </c>
      <c r="M46" s="399">
        <v>0.7681</v>
      </c>
      <c r="N46" s="399">
        <v>0.73160000000000003</v>
      </c>
      <c r="O46" s="400">
        <v>0.73160000000000003</v>
      </c>
    </row>
    <row r="47" spans="1:15" ht="69.75" x14ac:dyDescent="0.25">
      <c r="A47" s="379">
        <v>38</v>
      </c>
      <c r="B47" s="396" t="s">
        <v>101</v>
      </c>
      <c r="C47" s="397" t="s">
        <v>123</v>
      </c>
      <c r="D47" s="397" t="s">
        <v>211</v>
      </c>
      <c r="E47" s="398" t="s">
        <v>23</v>
      </c>
      <c r="F47" s="397" t="s">
        <v>185</v>
      </c>
      <c r="G47" s="397" t="s">
        <v>177</v>
      </c>
      <c r="H47" s="397" t="s">
        <v>184</v>
      </c>
      <c r="I47" s="397" t="s">
        <v>186</v>
      </c>
      <c r="J47" s="399">
        <v>0.77090000000000003</v>
      </c>
      <c r="K47" s="399">
        <v>0.72860000000000003</v>
      </c>
      <c r="L47" s="399">
        <v>0.76139999999999997</v>
      </c>
      <c r="M47" s="399">
        <v>0.76139999999999997</v>
      </c>
      <c r="N47" s="399">
        <v>0.7772</v>
      </c>
      <c r="O47" s="400">
        <v>0.7772</v>
      </c>
    </row>
    <row r="48" spans="1:15" ht="69.75" x14ac:dyDescent="0.25">
      <c r="A48" s="379">
        <v>39</v>
      </c>
      <c r="B48" s="396" t="s">
        <v>101</v>
      </c>
      <c r="C48" s="397" t="s">
        <v>123</v>
      </c>
      <c r="D48" s="397" t="s">
        <v>211</v>
      </c>
      <c r="E48" s="398" t="s">
        <v>12</v>
      </c>
      <c r="F48" s="397" t="s">
        <v>175</v>
      </c>
      <c r="G48" s="397" t="s">
        <v>177</v>
      </c>
      <c r="H48" s="397" t="s">
        <v>184</v>
      </c>
      <c r="I48" s="397" t="s">
        <v>186</v>
      </c>
      <c r="J48" s="399">
        <v>0.75670000000000004</v>
      </c>
      <c r="K48" s="399">
        <v>0.7147</v>
      </c>
      <c r="L48" s="399">
        <v>0.74329999999999996</v>
      </c>
      <c r="M48" s="399">
        <v>0.74329999999999996</v>
      </c>
      <c r="N48" s="399">
        <v>0.76570000000000005</v>
      </c>
      <c r="O48" s="400">
        <v>0.76570000000000005</v>
      </c>
    </row>
    <row r="49" spans="1:15" ht="69.75" x14ac:dyDescent="0.25">
      <c r="A49" s="379">
        <v>40</v>
      </c>
      <c r="B49" s="396" t="s">
        <v>101</v>
      </c>
      <c r="C49" s="397" t="s">
        <v>123</v>
      </c>
      <c r="D49" s="397" t="s">
        <v>211</v>
      </c>
      <c r="E49" s="398" t="s">
        <v>19</v>
      </c>
      <c r="F49" s="397" t="s">
        <v>185</v>
      </c>
      <c r="G49" s="397" t="s">
        <v>177</v>
      </c>
      <c r="H49" s="397" t="s">
        <v>184</v>
      </c>
      <c r="I49" s="397" t="s">
        <v>186</v>
      </c>
      <c r="J49" s="399">
        <v>0.91039999999999999</v>
      </c>
      <c r="K49" s="399">
        <v>0.83819999999999995</v>
      </c>
      <c r="L49" s="399">
        <v>0.86599999999999999</v>
      </c>
      <c r="M49" s="399">
        <v>0.86599999999999999</v>
      </c>
      <c r="N49" s="399">
        <v>0.82850000000000001</v>
      </c>
      <c r="O49" s="400">
        <v>0.82850000000000001</v>
      </c>
    </row>
    <row r="50" spans="1:15" ht="69.75" x14ac:dyDescent="0.25">
      <c r="A50" s="379">
        <v>41</v>
      </c>
      <c r="B50" s="396" t="s">
        <v>101</v>
      </c>
      <c r="C50" s="397" t="s">
        <v>123</v>
      </c>
      <c r="D50" s="397" t="s">
        <v>211</v>
      </c>
      <c r="E50" s="398" t="s">
        <v>28</v>
      </c>
      <c r="F50" s="397" t="s">
        <v>175</v>
      </c>
      <c r="G50" s="397" t="s">
        <v>177</v>
      </c>
      <c r="H50" s="397" t="s">
        <v>190</v>
      </c>
      <c r="I50" s="397" t="s">
        <v>186</v>
      </c>
      <c r="J50" s="399">
        <v>0.7107</v>
      </c>
      <c r="K50" s="399">
        <v>0.61980000000000002</v>
      </c>
      <c r="L50" s="399">
        <v>0.57720000000000005</v>
      </c>
      <c r="M50" s="399">
        <v>0.57720000000000005</v>
      </c>
      <c r="N50" s="399">
        <v>0.55569999999999997</v>
      </c>
      <c r="O50" s="400">
        <v>0.55569999999999997</v>
      </c>
    </row>
    <row r="51" spans="1:15" ht="69.75" x14ac:dyDescent="0.25">
      <c r="A51" s="379">
        <v>42</v>
      </c>
      <c r="B51" s="396" t="s">
        <v>101</v>
      </c>
      <c r="C51" s="397" t="s">
        <v>123</v>
      </c>
      <c r="D51" s="397" t="s">
        <v>211</v>
      </c>
      <c r="E51" s="398" t="s">
        <v>5</v>
      </c>
      <c r="F51" s="397" t="s">
        <v>185</v>
      </c>
      <c r="G51" s="397" t="s">
        <v>177</v>
      </c>
      <c r="H51" s="397" t="s">
        <v>187</v>
      </c>
      <c r="I51" s="397" t="s">
        <v>183</v>
      </c>
      <c r="J51" s="399">
        <v>2.5000000000000001E-2</v>
      </c>
      <c r="K51" s="399">
        <v>3.1E-2</v>
      </c>
      <c r="L51" s="399">
        <v>2.8799999999999999E-2</v>
      </c>
      <c r="M51" s="399">
        <v>2.8799999999999999E-2</v>
      </c>
      <c r="N51" s="399">
        <v>3.0800000000000001E-2</v>
      </c>
      <c r="O51" s="400">
        <v>3.0800000000000001E-2</v>
      </c>
    </row>
    <row r="52" spans="1:15" ht="70.5" thickBot="1" x14ac:dyDescent="0.3">
      <c r="A52" s="379">
        <v>43</v>
      </c>
      <c r="B52" s="405" t="s">
        <v>101</v>
      </c>
      <c r="C52" s="406" t="s">
        <v>130</v>
      </c>
      <c r="D52" s="406" t="s">
        <v>212</v>
      </c>
      <c r="E52" s="407" t="s">
        <v>41</v>
      </c>
      <c r="F52" s="406" t="s">
        <v>175</v>
      </c>
      <c r="G52" s="406" t="s">
        <v>199</v>
      </c>
      <c r="H52" s="406" t="s">
        <v>184</v>
      </c>
      <c r="I52" s="406" t="s">
        <v>200</v>
      </c>
      <c r="J52" s="408">
        <v>4350</v>
      </c>
      <c r="K52" s="408">
        <v>2889</v>
      </c>
      <c r="L52" s="408">
        <v>4000</v>
      </c>
      <c r="M52" s="408">
        <v>4000</v>
      </c>
      <c r="N52" s="408">
        <v>4059</v>
      </c>
      <c r="O52" s="409">
        <v>4059</v>
      </c>
    </row>
    <row r="53" spans="1:15" ht="116.25" x14ac:dyDescent="0.25">
      <c r="A53" s="379">
        <v>44</v>
      </c>
      <c r="B53" s="410" t="s">
        <v>99</v>
      </c>
      <c r="C53" s="411" t="s">
        <v>131</v>
      </c>
      <c r="D53" s="411" t="s">
        <v>211</v>
      </c>
      <c r="E53" s="412" t="s">
        <v>51</v>
      </c>
      <c r="F53" s="411" t="s">
        <v>185</v>
      </c>
      <c r="G53" s="411" t="s">
        <v>177</v>
      </c>
      <c r="H53" s="411" t="s">
        <v>190</v>
      </c>
      <c r="I53" s="411" t="s">
        <v>183</v>
      </c>
      <c r="J53" s="413">
        <v>0.15</v>
      </c>
      <c r="K53" s="413">
        <v>0.1</v>
      </c>
      <c r="L53" s="413">
        <v>0.13700000000000001</v>
      </c>
      <c r="M53" s="413">
        <v>0.13700000000000001</v>
      </c>
      <c r="N53" s="413">
        <v>9.0999999999999998E-2</v>
      </c>
      <c r="O53" s="414">
        <v>9.0999999999999998E-2</v>
      </c>
    </row>
    <row r="54" spans="1:15" ht="116.25" x14ac:dyDescent="0.25">
      <c r="A54" s="379">
        <v>45</v>
      </c>
      <c r="B54" s="396" t="s">
        <v>99</v>
      </c>
      <c r="C54" s="397" t="s">
        <v>135</v>
      </c>
      <c r="D54" s="397" t="s">
        <v>211</v>
      </c>
      <c r="E54" s="398" t="s">
        <v>59</v>
      </c>
      <c r="F54" s="397" t="s">
        <v>191</v>
      </c>
      <c r="G54" s="397" t="s">
        <v>180</v>
      </c>
      <c r="H54" s="397" t="s">
        <v>190</v>
      </c>
      <c r="I54" s="397" t="s">
        <v>183</v>
      </c>
      <c r="J54" s="399">
        <v>0.6</v>
      </c>
      <c r="K54" s="399">
        <v>0.39</v>
      </c>
      <c r="L54" s="399">
        <v>0.55000000000000004</v>
      </c>
      <c r="M54" s="399">
        <v>0.55000000000000004</v>
      </c>
      <c r="N54" s="399">
        <v>0.40200000000000002</v>
      </c>
      <c r="O54" s="400">
        <v>0.40200000000000002</v>
      </c>
    </row>
    <row r="55" spans="1:15" ht="46.5" x14ac:dyDescent="0.25">
      <c r="A55" s="379">
        <v>46</v>
      </c>
      <c r="B55" s="396" t="s">
        <v>99</v>
      </c>
      <c r="C55" s="397" t="s">
        <v>131</v>
      </c>
      <c r="D55" s="397" t="s">
        <v>211</v>
      </c>
      <c r="E55" s="398" t="s">
        <v>54</v>
      </c>
      <c r="F55" s="397" t="s">
        <v>185</v>
      </c>
      <c r="G55" s="397" t="s">
        <v>177</v>
      </c>
      <c r="H55" s="397" t="s">
        <v>184</v>
      </c>
      <c r="I55" s="397" t="s">
        <v>186</v>
      </c>
      <c r="J55" s="399">
        <v>0.56999999999999995</v>
      </c>
      <c r="K55" s="399">
        <v>0.47799999999999998</v>
      </c>
      <c r="L55" s="399">
        <v>0.54300000000000004</v>
      </c>
      <c r="M55" s="399">
        <v>0.54300000000000004</v>
      </c>
      <c r="N55" s="399">
        <v>0.52800000000000002</v>
      </c>
      <c r="O55" s="400">
        <v>0.52800000000000002</v>
      </c>
    </row>
    <row r="56" spans="1:15" ht="69.75" x14ac:dyDescent="0.25">
      <c r="A56" s="379">
        <v>47</v>
      </c>
      <c r="B56" s="396" t="s">
        <v>99</v>
      </c>
      <c r="C56" s="397" t="s">
        <v>134</v>
      </c>
      <c r="D56" s="397" t="s">
        <v>211</v>
      </c>
      <c r="E56" s="398" t="s">
        <v>48</v>
      </c>
      <c r="F56" s="397" t="s">
        <v>191</v>
      </c>
      <c r="G56" s="397" t="s">
        <v>178</v>
      </c>
      <c r="H56" s="397" t="s">
        <v>184</v>
      </c>
      <c r="I56" s="397" t="s">
        <v>183</v>
      </c>
      <c r="J56" s="399">
        <v>0.9</v>
      </c>
      <c r="K56" s="399">
        <v>0.16500000000000001</v>
      </c>
      <c r="L56" s="399">
        <v>0.6</v>
      </c>
      <c r="M56" s="399">
        <v>0.6</v>
      </c>
      <c r="N56" s="399">
        <v>0.53129999999999999</v>
      </c>
      <c r="O56" s="400">
        <v>0.53129999999999999</v>
      </c>
    </row>
    <row r="57" spans="1:15" ht="139.5" x14ac:dyDescent="0.25">
      <c r="A57" s="379">
        <v>48</v>
      </c>
      <c r="B57" s="396" t="s">
        <v>99</v>
      </c>
      <c r="C57" s="397" t="s">
        <v>133</v>
      </c>
      <c r="D57" s="397" t="s">
        <v>211</v>
      </c>
      <c r="E57" s="398" t="s">
        <v>47</v>
      </c>
      <c r="F57" s="397" t="s">
        <v>175</v>
      </c>
      <c r="G57" s="397" t="s">
        <v>180</v>
      </c>
      <c r="H57" s="397" t="s">
        <v>184</v>
      </c>
      <c r="I57" s="397" t="s">
        <v>193</v>
      </c>
      <c r="J57" s="401">
        <v>2000</v>
      </c>
      <c r="K57" s="401">
        <v>117</v>
      </c>
      <c r="L57" s="401">
        <v>1000</v>
      </c>
      <c r="M57" s="401">
        <v>1000</v>
      </c>
      <c r="N57" s="401">
        <v>621</v>
      </c>
      <c r="O57" s="402">
        <v>621</v>
      </c>
    </row>
    <row r="58" spans="1:15" ht="46.5" x14ac:dyDescent="0.25">
      <c r="A58" s="379">
        <v>49</v>
      </c>
      <c r="B58" s="396" t="s">
        <v>99</v>
      </c>
      <c r="C58" s="397" t="s">
        <v>131</v>
      </c>
      <c r="D58" s="397" t="s">
        <v>211</v>
      </c>
      <c r="E58" s="398" t="s">
        <v>55</v>
      </c>
      <c r="F58" s="397" t="s">
        <v>191</v>
      </c>
      <c r="G58" s="397" t="s">
        <v>177</v>
      </c>
      <c r="H58" s="397" t="s">
        <v>190</v>
      </c>
      <c r="I58" s="397" t="s">
        <v>204</v>
      </c>
      <c r="J58" s="401">
        <v>400000</v>
      </c>
      <c r="K58" s="401">
        <v>546631</v>
      </c>
      <c r="L58" s="401">
        <v>278664</v>
      </c>
      <c r="M58" s="401">
        <v>278664</v>
      </c>
      <c r="N58" s="401">
        <v>225662</v>
      </c>
      <c r="O58" s="402">
        <v>225662</v>
      </c>
    </row>
    <row r="59" spans="1:15" ht="46.5" x14ac:dyDescent="0.25">
      <c r="A59" s="379">
        <v>50</v>
      </c>
      <c r="B59" s="396" t="s">
        <v>99</v>
      </c>
      <c r="C59" s="397" t="s">
        <v>131</v>
      </c>
      <c r="D59" s="397" t="s">
        <v>212</v>
      </c>
      <c r="E59" s="398" t="s">
        <v>66</v>
      </c>
      <c r="F59" s="397" t="s">
        <v>185</v>
      </c>
      <c r="G59" s="397" t="s">
        <v>177</v>
      </c>
      <c r="H59" s="397" t="s">
        <v>182</v>
      </c>
      <c r="I59" s="397" t="s">
        <v>186</v>
      </c>
      <c r="J59" s="399">
        <v>0.05</v>
      </c>
      <c r="K59" s="399">
        <v>0</v>
      </c>
      <c r="L59" s="399">
        <v>0.05</v>
      </c>
      <c r="M59" s="399">
        <v>0.05</v>
      </c>
      <c r="N59" s="399">
        <v>2.4299999999999999E-2</v>
      </c>
      <c r="O59" s="400">
        <v>2.4299999999999999E-2</v>
      </c>
    </row>
    <row r="60" spans="1:15" ht="46.5" x14ac:dyDescent="0.25">
      <c r="A60" s="379">
        <v>51</v>
      </c>
      <c r="B60" s="396" t="s">
        <v>99</v>
      </c>
      <c r="C60" s="397" t="s">
        <v>131</v>
      </c>
      <c r="D60" s="397" t="s">
        <v>212</v>
      </c>
      <c r="E60" s="398" t="s">
        <v>45</v>
      </c>
      <c r="F60" s="397" t="s">
        <v>185</v>
      </c>
      <c r="G60" s="397" t="s">
        <v>177</v>
      </c>
      <c r="H60" s="397" t="s">
        <v>184</v>
      </c>
      <c r="I60" s="397" t="s">
        <v>186</v>
      </c>
      <c r="J60" s="399">
        <v>0.2</v>
      </c>
      <c r="K60" s="399">
        <v>0.14899999999999999</v>
      </c>
      <c r="L60" s="399">
        <v>0.187</v>
      </c>
      <c r="M60" s="399">
        <v>0.187</v>
      </c>
      <c r="N60" s="399">
        <v>0.191</v>
      </c>
      <c r="O60" s="400">
        <v>0.191</v>
      </c>
    </row>
    <row r="61" spans="1:15" ht="69.75" x14ac:dyDescent="0.25">
      <c r="A61" s="379">
        <v>52</v>
      </c>
      <c r="B61" s="396" t="s">
        <v>99</v>
      </c>
      <c r="C61" s="397" t="s">
        <v>131</v>
      </c>
      <c r="D61" s="397" t="s">
        <v>212</v>
      </c>
      <c r="E61" s="398" t="s">
        <v>56</v>
      </c>
      <c r="F61" s="397" t="s">
        <v>185</v>
      </c>
      <c r="G61" s="397" t="s">
        <v>177</v>
      </c>
      <c r="H61" s="397" t="s">
        <v>190</v>
      </c>
      <c r="I61" s="397" t="s">
        <v>205</v>
      </c>
      <c r="J61" s="401">
        <v>33</v>
      </c>
      <c r="K61" s="401">
        <v>25</v>
      </c>
      <c r="L61" s="401">
        <v>31</v>
      </c>
      <c r="M61" s="401">
        <v>31</v>
      </c>
      <c r="N61" s="401">
        <v>26</v>
      </c>
      <c r="O61" s="402">
        <v>26</v>
      </c>
    </row>
    <row r="62" spans="1:15" ht="116.25" x14ac:dyDescent="0.25">
      <c r="A62" s="379">
        <v>53</v>
      </c>
      <c r="B62" s="396" t="s">
        <v>99</v>
      </c>
      <c r="C62" s="397" t="s">
        <v>135</v>
      </c>
      <c r="D62" s="397" t="s">
        <v>212</v>
      </c>
      <c r="E62" s="398" t="s">
        <v>181</v>
      </c>
      <c r="F62" s="397" t="s">
        <v>175</v>
      </c>
      <c r="G62" s="397" t="s">
        <v>180</v>
      </c>
      <c r="H62" s="397" t="s">
        <v>188</v>
      </c>
      <c r="I62" s="397" t="s">
        <v>193</v>
      </c>
      <c r="J62" s="401">
        <v>125000</v>
      </c>
      <c r="K62" s="401">
        <v>23067</v>
      </c>
      <c r="L62" s="401">
        <v>36183</v>
      </c>
      <c r="M62" s="401">
        <v>88817</v>
      </c>
      <c r="N62" s="401">
        <v>23777</v>
      </c>
      <c r="O62" s="402">
        <v>66342</v>
      </c>
    </row>
    <row r="63" spans="1:15" ht="46.5" x14ac:dyDescent="0.25">
      <c r="A63" s="379">
        <v>54</v>
      </c>
      <c r="B63" s="396" t="s">
        <v>99</v>
      </c>
      <c r="C63" s="397" t="s">
        <v>131</v>
      </c>
      <c r="D63" s="397" t="s">
        <v>212</v>
      </c>
      <c r="E63" s="398" t="s">
        <v>65</v>
      </c>
      <c r="F63" s="397" t="s">
        <v>175</v>
      </c>
      <c r="G63" s="397" t="s">
        <v>177</v>
      </c>
      <c r="H63" s="397" t="s">
        <v>188</v>
      </c>
      <c r="I63" s="397" t="s">
        <v>193</v>
      </c>
      <c r="J63" s="401">
        <v>40000</v>
      </c>
      <c r="K63" s="401">
        <v>0</v>
      </c>
      <c r="L63" s="401">
        <v>10000</v>
      </c>
      <c r="M63" s="401">
        <v>30000</v>
      </c>
      <c r="N63" s="401">
        <v>31977</v>
      </c>
      <c r="O63" s="402">
        <v>31977</v>
      </c>
    </row>
    <row r="64" spans="1:15" ht="47.25" thickBot="1" x14ac:dyDescent="0.3">
      <c r="A64" s="379">
        <v>55</v>
      </c>
      <c r="B64" s="405" t="s">
        <v>99</v>
      </c>
      <c r="C64" s="406" t="s">
        <v>131</v>
      </c>
      <c r="D64" s="406" t="s">
        <v>212</v>
      </c>
      <c r="E64" s="407" t="s">
        <v>52</v>
      </c>
      <c r="F64" s="406" t="s">
        <v>191</v>
      </c>
      <c r="G64" s="406" t="s">
        <v>177</v>
      </c>
      <c r="H64" s="406" t="s">
        <v>190</v>
      </c>
      <c r="I64" s="406" t="s">
        <v>204</v>
      </c>
      <c r="J64" s="408">
        <v>318664</v>
      </c>
      <c r="K64" s="408">
        <v>168664</v>
      </c>
      <c r="L64" s="408">
        <v>110715</v>
      </c>
      <c r="M64" s="408">
        <v>279379</v>
      </c>
      <c r="N64" s="408">
        <v>179501</v>
      </c>
      <c r="O64" s="409">
        <v>189519</v>
      </c>
    </row>
    <row r="65" spans="1:15" ht="93.75" thickBot="1" x14ac:dyDescent="0.3">
      <c r="A65" s="379">
        <v>56</v>
      </c>
      <c r="B65" s="415" t="s">
        <v>281</v>
      </c>
      <c r="C65" s="416" t="s">
        <v>132</v>
      </c>
      <c r="D65" s="416" t="s">
        <v>211</v>
      </c>
      <c r="E65" s="417" t="s">
        <v>46</v>
      </c>
      <c r="F65" s="416" t="s">
        <v>175</v>
      </c>
      <c r="G65" s="416" t="s">
        <v>203</v>
      </c>
      <c r="H65" s="416" t="s">
        <v>184</v>
      </c>
      <c r="I65" s="416" t="s">
        <v>183</v>
      </c>
      <c r="J65" s="418">
        <v>0.9</v>
      </c>
      <c r="K65" s="418">
        <v>0.68</v>
      </c>
      <c r="L65" s="418">
        <v>0.83</v>
      </c>
      <c r="M65" s="418">
        <v>0.83</v>
      </c>
      <c r="N65" s="418">
        <v>0.62629999999999997</v>
      </c>
      <c r="O65" s="419">
        <v>0.62629999999999997</v>
      </c>
    </row>
    <row r="66" spans="1:15" ht="26.25" x14ac:dyDescent="0.25">
      <c r="A66" s="379"/>
      <c r="B66" s="380"/>
      <c r="C66" s="380"/>
      <c r="D66" s="380"/>
      <c r="E66" s="381"/>
      <c r="F66" s="380"/>
      <c r="G66" s="380"/>
      <c r="H66" s="380"/>
      <c r="I66" s="380"/>
      <c r="J66" s="387"/>
      <c r="K66" s="387"/>
      <c r="L66" s="387"/>
      <c r="M66" s="387"/>
      <c r="N66" s="387"/>
      <c r="O66" s="387"/>
    </row>
    <row r="67" spans="1:15" ht="26.25" x14ac:dyDescent="0.35">
      <c r="A67" s="379"/>
      <c r="B67" s="378" t="s">
        <v>298</v>
      </c>
      <c r="C67" s="380"/>
      <c r="D67" s="380"/>
      <c r="E67" s="381"/>
      <c r="F67" s="380"/>
      <c r="G67" s="380"/>
      <c r="H67" s="380"/>
      <c r="I67" s="380"/>
      <c r="J67" s="387"/>
      <c r="K67" s="387"/>
      <c r="L67" s="387"/>
      <c r="M67" s="387"/>
      <c r="N67" s="387"/>
      <c r="O67" s="387"/>
    </row>
    <row r="68" spans="1:15" ht="27" thickBot="1" x14ac:dyDescent="0.4">
      <c r="A68" s="379"/>
      <c r="B68" s="378"/>
      <c r="C68" s="380"/>
      <c r="D68" s="380"/>
      <c r="E68" s="381"/>
      <c r="F68" s="380"/>
      <c r="G68" s="380"/>
      <c r="H68" s="380"/>
      <c r="I68" s="380"/>
      <c r="J68" s="387"/>
      <c r="K68" s="387"/>
      <c r="L68" s="387"/>
      <c r="M68" s="387"/>
      <c r="N68" s="387"/>
      <c r="O68" s="387"/>
    </row>
    <row r="69" spans="1:15" ht="105.75" thickBot="1" x14ac:dyDescent="0.3">
      <c r="A69" s="379"/>
      <c r="B69" s="388" t="s">
        <v>100</v>
      </c>
      <c r="C69" s="389" t="s">
        <v>122</v>
      </c>
      <c r="D69" s="389" t="s">
        <v>300</v>
      </c>
      <c r="E69" s="389" t="s">
        <v>297</v>
      </c>
      <c r="F69" s="389" t="s">
        <v>174</v>
      </c>
      <c r="G69" s="389" t="s">
        <v>299</v>
      </c>
      <c r="H69" s="389" t="s">
        <v>173</v>
      </c>
      <c r="I69" s="389" t="s">
        <v>304</v>
      </c>
      <c r="J69" s="420" t="s">
        <v>301</v>
      </c>
      <c r="K69" s="420" t="s">
        <v>215</v>
      </c>
      <c r="L69" s="420" t="s">
        <v>90</v>
      </c>
      <c r="M69" s="420" t="s">
        <v>140</v>
      </c>
      <c r="N69" s="420" t="s">
        <v>302</v>
      </c>
      <c r="O69" s="421" t="s">
        <v>303</v>
      </c>
    </row>
    <row r="70" spans="1:15" ht="93" x14ac:dyDescent="0.25">
      <c r="A70" s="379">
        <v>57</v>
      </c>
      <c r="B70" s="410" t="s">
        <v>101</v>
      </c>
      <c r="C70" s="411" t="s">
        <v>138</v>
      </c>
      <c r="D70" s="411" t="s">
        <v>211</v>
      </c>
      <c r="E70" s="412" t="s">
        <v>77</v>
      </c>
      <c r="F70" s="411" t="s">
        <v>175</v>
      </c>
      <c r="G70" s="411" t="s">
        <v>180</v>
      </c>
      <c r="H70" s="411" t="s">
        <v>184</v>
      </c>
      <c r="I70" s="411" t="s">
        <v>210</v>
      </c>
      <c r="J70" s="422">
        <v>282</v>
      </c>
      <c r="K70" s="422" t="s">
        <v>260</v>
      </c>
      <c r="L70" s="422">
        <v>223</v>
      </c>
      <c r="M70" s="422">
        <v>223</v>
      </c>
      <c r="N70" s="423" t="s">
        <v>278</v>
      </c>
      <c r="O70" s="424" t="s">
        <v>278</v>
      </c>
    </row>
    <row r="71" spans="1:15" ht="69.75" x14ac:dyDescent="0.25">
      <c r="A71" s="379">
        <f>+A70+1</f>
        <v>58</v>
      </c>
      <c r="B71" s="396" t="s">
        <v>101</v>
      </c>
      <c r="C71" s="397" t="s">
        <v>123</v>
      </c>
      <c r="D71" s="397" t="s">
        <v>211</v>
      </c>
      <c r="E71" s="398" t="s">
        <v>26</v>
      </c>
      <c r="F71" s="397" t="s">
        <v>191</v>
      </c>
      <c r="G71" s="397" t="s">
        <v>177</v>
      </c>
      <c r="H71" s="397" t="s">
        <v>187</v>
      </c>
      <c r="I71" s="397" t="s">
        <v>195</v>
      </c>
      <c r="J71" s="401">
        <v>553408</v>
      </c>
      <c r="K71" s="401">
        <v>690512</v>
      </c>
      <c r="L71" s="401">
        <v>603443</v>
      </c>
      <c r="M71" s="401">
        <v>603443</v>
      </c>
      <c r="N71" s="425" t="s">
        <v>278</v>
      </c>
      <c r="O71" s="426" t="s">
        <v>278</v>
      </c>
    </row>
    <row r="72" spans="1:15" ht="116.25" x14ac:dyDescent="0.25">
      <c r="A72" s="379">
        <f t="shared" ref="A72:A91" si="0">+A71+1</f>
        <v>59</v>
      </c>
      <c r="B72" s="396" t="s">
        <v>101</v>
      </c>
      <c r="C72" s="397" t="s">
        <v>125</v>
      </c>
      <c r="D72" s="397" t="s">
        <v>212</v>
      </c>
      <c r="E72" s="398" t="s">
        <v>9</v>
      </c>
      <c r="F72" s="397" t="s">
        <v>185</v>
      </c>
      <c r="G72" s="397" t="s">
        <v>177</v>
      </c>
      <c r="H72" s="397" t="s">
        <v>184</v>
      </c>
      <c r="I72" s="397" t="s">
        <v>183</v>
      </c>
      <c r="J72" s="399">
        <v>0.42</v>
      </c>
      <c r="K72" s="399">
        <v>0.35699999999999998</v>
      </c>
      <c r="L72" s="399">
        <v>0.40788999999999997</v>
      </c>
      <c r="M72" s="399">
        <v>0.40788999999999997</v>
      </c>
      <c r="N72" s="427" t="s">
        <v>278</v>
      </c>
      <c r="O72" s="428" t="s">
        <v>278</v>
      </c>
    </row>
    <row r="73" spans="1:15" ht="116.25" x14ac:dyDescent="0.25">
      <c r="A73" s="379">
        <f t="shared" si="0"/>
        <v>60</v>
      </c>
      <c r="B73" s="396" t="s">
        <v>101</v>
      </c>
      <c r="C73" s="397" t="s">
        <v>125</v>
      </c>
      <c r="D73" s="397" t="s">
        <v>211</v>
      </c>
      <c r="E73" s="398" t="s">
        <v>8</v>
      </c>
      <c r="F73" s="397" t="s">
        <v>185</v>
      </c>
      <c r="G73" s="397" t="s">
        <v>177</v>
      </c>
      <c r="H73" s="397" t="s">
        <v>184</v>
      </c>
      <c r="I73" s="397" t="s">
        <v>183</v>
      </c>
      <c r="J73" s="399">
        <v>0.45</v>
      </c>
      <c r="K73" s="399">
        <v>0.371</v>
      </c>
      <c r="L73" s="399">
        <v>0.42392000000000002</v>
      </c>
      <c r="M73" s="399">
        <v>0.42392000000000002</v>
      </c>
      <c r="N73" s="427" t="s">
        <v>278</v>
      </c>
      <c r="O73" s="428" t="s">
        <v>278</v>
      </c>
    </row>
    <row r="74" spans="1:15" ht="93" x14ac:dyDescent="0.25">
      <c r="A74" s="379">
        <f t="shared" si="0"/>
        <v>61</v>
      </c>
      <c r="B74" s="396" t="s">
        <v>101</v>
      </c>
      <c r="C74" s="397" t="s">
        <v>127</v>
      </c>
      <c r="D74" s="397" t="s">
        <v>211</v>
      </c>
      <c r="E74" s="398" t="s">
        <v>40</v>
      </c>
      <c r="F74" s="397" t="s">
        <v>191</v>
      </c>
      <c r="G74" s="397" t="s">
        <v>177</v>
      </c>
      <c r="H74" s="397" t="s">
        <v>190</v>
      </c>
      <c r="I74" s="397" t="s">
        <v>183</v>
      </c>
      <c r="J74" s="399">
        <v>0.1196</v>
      </c>
      <c r="K74" s="399">
        <v>9.4E-2</v>
      </c>
      <c r="L74" s="399">
        <v>0.1132</v>
      </c>
      <c r="M74" s="399">
        <v>0.1132</v>
      </c>
      <c r="N74" s="427" t="s">
        <v>278</v>
      </c>
      <c r="O74" s="428" t="s">
        <v>278</v>
      </c>
    </row>
    <row r="75" spans="1:15" ht="93" x14ac:dyDescent="0.25">
      <c r="A75" s="379">
        <f t="shared" si="0"/>
        <v>62</v>
      </c>
      <c r="B75" s="396" t="s">
        <v>101</v>
      </c>
      <c r="C75" s="397" t="s">
        <v>127</v>
      </c>
      <c r="D75" s="397" t="s">
        <v>212</v>
      </c>
      <c r="E75" s="398" t="s">
        <v>30</v>
      </c>
      <c r="F75" s="397" t="s">
        <v>191</v>
      </c>
      <c r="G75" s="397" t="s">
        <v>177</v>
      </c>
      <c r="H75" s="397" t="s">
        <v>184</v>
      </c>
      <c r="I75" s="397" t="s">
        <v>183</v>
      </c>
      <c r="J75" s="399">
        <v>0.12</v>
      </c>
      <c r="K75" s="399">
        <v>0</v>
      </c>
      <c r="L75" s="399">
        <v>0.09</v>
      </c>
      <c r="M75" s="399">
        <v>0.09</v>
      </c>
      <c r="N75" s="427" t="s">
        <v>278</v>
      </c>
      <c r="O75" s="428" t="s">
        <v>278</v>
      </c>
    </row>
    <row r="76" spans="1:15" ht="69.75" x14ac:dyDescent="0.25">
      <c r="A76" s="379">
        <f t="shared" si="0"/>
        <v>63</v>
      </c>
      <c r="B76" s="396" t="s">
        <v>101</v>
      </c>
      <c r="C76" s="397" t="s">
        <v>126</v>
      </c>
      <c r="D76" s="397" t="s">
        <v>211</v>
      </c>
      <c r="E76" s="398" t="s">
        <v>79</v>
      </c>
      <c r="F76" s="397" t="s">
        <v>175</v>
      </c>
      <c r="G76" s="397" t="s">
        <v>180</v>
      </c>
      <c r="H76" s="397" t="s">
        <v>184</v>
      </c>
      <c r="I76" s="397" t="s">
        <v>183</v>
      </c>
      <c r="J76" s="399">
        <v>0.84</v>
      </c>
      <c r="K76" s="399">
        <v>0.72</v>
      </c>
      <c r="L76" s="399">
        <v>0.81</v>
      </c>
      <c r="M76" s="399">
        <v>0.81</v>
      </c>
      <c r="N76" s="427" t="s">
        <v>278</v>
      </c>
      <c r="O76" s="428" t="s">
        <v>278</v>
      </c>
    </row>
    <row r="77" spans="1:15" ht="93" x14ac:dyDescent="0.25">
      <c r="A77" s="379">
        <f t="shared" si="0"/>
        <v>64</v>
      </c>
      <c r="B77" s="396" t="s">
        <v>101</v>
      </c>
      <c r="C77" s="397" t="s">
        <v>137</v>
      </c>
      <c r="D77" s="397" t="s">
        <v>211</v>
      </c>
      <c r="E77" s="398" t="s">
        <v>74</v>
      </c>
      <c r="F77" s="397" t="s">
        <v>179</v>
      </c>
      <c r="G77" s="397" t="s">
        <v>180</v>
      </c>
      <c r="H77" s="397" t="s">
        <v>182</v>
      </c>
      <c r="I77" s="397" t="s">
        <v>183</v>
      </c>
      <c r="J77" s="399">
        <v>1</v>
      </c>
      <c r="K77" s="399" t="s">
        <v>260</v>
      </c>
      <c r="L77" s="399">
        <v>1</v>
      </c>
      <c r="M77" s="399">
        <v>1</v>
      </c>
      <c r="N77" s="427" t="s">
        <v>278</v>
      </c>
      <c r="O77" s="428" t="s">
        <v>278</v>
      </c>
    </row>
    <row r="78" spans="1:15" ht="69.75" x14ac:dyDescent="0.25">
      <c r="A78" s="379">
        <f t="shared" si="0"/>
        <v>65</v>
      </c>
      <c r="B78" s="396" t="s">
        <v>101</v>
      </c>
      <c r="C78" s="397" t="s">
        <v>123</v>
      </c>
      <c r="D78" s="397" t="s">
        <v>212</v>
      </c>
      <c r="E78" s="398" t="s">
        <v>156</v>
      </c>
      <c r="F78" s="397" t="s">
        <v>185</v>
      </c>
      <c r="G78" s="397" t="s">
        <v>177</v>
      </c>
      <c r="H78" s="397" t="s">
        <v>184</v>
      </c>
      <c r="I78" s="397" t="s">
        <v>186</v>
      </c>
      <c r="J78" s="399">
        <v>0.69</v>
      </c>
      <c r="K78" s="399">
        <v>0.621</v>
      </c>
      <c r="L78" s="399">
        <v>0.67976000000000003</v>
      </c>
      <c r="M78" s="399">
        <v>0.67976000000000003</v>
      </c>
      <c r="N78" s="427" t="s">
        <v>278</v>
      </c>
      <c r="O78" s="428" t="s">
        <v>278</v>
      </c>
    </row>
    <row r="79" spans="1:15" ht="69.75" x14ac:dyDescent="0.25">
      <c r="A79" s="379">
        <f t="shared" si="0"/>
        <v>66</v>
      </c>
      <c r="B79" s="396" t="s">
        <v>101</v>
      </c>
      <c r="C79" s="397" t="s">
        <v>123</v>
      </c>
      <c r="D79" s="397" t="s">
        <v>211</v>
      </c>
      <c r="E79" s="398" t="s">
        <v>3</v>
      </c>
      <c r="F79" s="397" t="s">
        <v>185</v>
      </c>
      <c r="G79" s="397" t="s">
        <v>177</v>
      </c>
      <c r="H79" s="397" t="s">
        <v>184</v>
      </c>
      <c r="I79" s="397" t="s">
        <v>186</v>
      </c>
      <c r="J79" s="399">
        <v>0.45</v>
      </c>
      <c r="K79" s="399">
        <v>0.372</v>
      </c>
      <c r="L79" s="399">
        <v>0.43009999999999998</v>
      </c>
      <c r="M79" s="399">
        <v>0.43009999999999998</v>
      </c>
      <c r="N79" s="427" t="s">
        <v>278</v>
      </c>
      <c r="O79" s="428" t="s">
        <v>278</v>
      </c>
    </row>
    <row r="80" spans="1:15" ht="70.5" thickBot="1" x14ac:dyDescent="0.3">
      <c r="A80" s="379">
        <f t="shared" si="0"/>
        <v>67</v>
      </c>
      <c r="B80" s="405" t="s">
        <v>101</v>
      </c>
      <c r="C80" s="406" t="s">
        <v>123</v>
      </c>
      <c r="D80" s="406" t="s">
        <v>211</v>
      </c>
      <c r="E80" s="407" t="s">
        <v>21</v>
      </c>
      <c r="F80" s="406" t="s">
        <v>185</v>
      </c>
      <c r="G80" s="406" t="s">
        <v>177</v>
      </c>
      <c r="H80" s="406" t="s">
        <v>184</v>
      </c>
      <c r="I80" s="406" t="s">
        <v>186</v>
      </c>
      <c r="J80" s="429">
        <v>0.189</v>
      </c>
      <c r="K80" s="429">
        <v>0.16930000000000001</v>
      </c>
      <c r="L80" s="429">
        <v>0.184</v>
      </c>
      <c r="M80" s="429">
        <v>0.184</v>
      </c>
      <c r="N80" s="430" t="s">
        <v>278</v>
      </c>
      <c r="O80" s="431" t="s">
        <v>278</v>
      </c>
    </row>
    <row r="81" spans="1:15" ht="46.5" x14ac:dyDescent="0.25">
      <c r="A81" s="379">
        <f t="shared" si="0"/>
        <v>68</v>
      </c>
      <c r="B81" s="410" t="s">
        <v>99</v>
      </c>
      <c r="C81" s="411" t="s">
        <v>131</v>
      </c>
      <c r="D81" s="411" t="s">
        <v>211</v>
      </c>
      <c r="E81" s="432" t="s">
        <v>67</v>
      </c>
      <c r="F81" s="411" t="s">
        <v>175</v>
      </c>
      <c r="G81" s="411" t="s">
        <v>177</v>
      </c>
      <c r="H81" s="411" t="s">
        <v>188</v>
      </c>
      <c r="I81" s="411" t="s">
        <v>204</v>
      </c>
      <c r="J81" s="422">
        <v>20</v>
      </c>
      <c r="K81" s="422">
        <v>0</v>
      </c>
      <c r="L81" s="422">
        <v>6</v>
      </c>
      <c r="M81" s="422">
        <v>6</v>
      </c>
      <c r="N81" s="423" t="s">
        <v>278</v>
      </c>
      <c r="O81" s="424" t="s">
        <v>278</v>
      </c>
    </row>
    <row r="82" spans="1:15" ht="46.5" x14ac:dyDescent="0.25">
      <c r="A82" s="379">
        <f t="shared" si="0"/>
        <v>69</v>
      </c>
      <c r="B82" s="396" t="s">
        <v>99</v>
      </c>
      <c r="C82" s="397" t="s">
        <v>131</v>
      </c>
      <c r="D82" s="397" t="s">
        <v>211</v>
      </c>
      <c r="E82" s="433" t="s">
        <v>60</v>
      </c>
      <c r="F82" s="397" t="s">
        <v>175</v>
      </c>
      <c r="G82" s="397" t="s">
        <v>177</v>
      </c>
      <c r="H82" s="397" t="s">
        <v>184</v>
      </c>
      <c r="I82" s="397" t="s">
        <v>198</v>
      </c>
      <c r="J82" s="401">
        <v>10000</v>
      </c>
      <c r="K82" s="401">
        <v>8893</v>
      </c>
      <c r="L82" s="401">
        <v>9400</v>
      </c>
      <c r="M82" s="401">
        <v>9400</v>
      </c>
      <c r="N82" s="425" t="s">
        <v>278</v>
      </c>
      <c r="O82" s="426" t="s">
        <v>278</v>
      </c>
    </row>
    <row r="83" spans="1:15" ht="93" x14ac:dyDescent="0.25">
      <c r="A83" s="379">
        <f t="shared" si="0"/>
        <v>70</v>
      </c>
      <c r="B83" s="396" t="s">
        <v>99</v>
      </c>
      <c r="C83" s="397" t="s">
        <v>131</v>
      </c>
      <c r="D83" s="397" t="s">
        <v>211</v>
      </c>
      <c r="E83" s="433" t="s">
        <v>70</v>
      </c>
      <c r="F83" s="397" t="s">
        <v>175</v>
      </c>
      <c r="G83" s="397" t="s">
        <v>177</v>
      </c>
      <c r="H83" s="397" t="s">
        <v>188</v>
      </c>
      <c r="I83" s="397" t="s">
        <v>208</v>
      </c>
      <c r="J83" s="401">
        <v>8000</v>
      </c>
      <c r="K83" s="401">
        <v>1300</v>
      </c>
      <c r="L83" s="401">
        <v>2000</v>
      </c>
      <c r="M83" s="401">
        <v>2000</v>
      </c>
      <c r="N83" s="425" t="s">
        <v>278</v>
      </c>
      <c r="O83" s="426" t="s">
        <v>278</v>
      </c>
    </row>
    <row r="84" spans="1:15" ht="69.75" x14ac:dyDescent="0.25">
      <c r="A84" s="379">
        <f t="shared" si="0"/>
        <v>71</v>
      </c>
      <c r="B84" s="396" t="s">
        <v>99</v>
      </c>
      <c r="C84" s="397" t="s">
        <v>131</v>
      </c>
      <c r="D84" s="397" t="s">
        <v>211</v>
      </c>
      <c r="E84" s="398" t="s">
        <v>61</v>
      </c>
      <c r="F84" s="397" t="s">
        <v>175</v>
      </c>
      <c r="G84" s="397" t="s">
        <v>177</v>
      </c>
      <c r="H84" s="397" t="s">
        <v>184</v>
      </c>
      <c r="I84" s="397" t="s">
        <v>206</v>
      </c>
      <c r="J84" s="401">
        <v>25</v>
      </c>
      <c r="K84" s="401">
        <v>0</v>
      </c>
      <c r="L84" s="401">
        <v>20</v>
      </c>
      <c r="M84" s="401">
        <v>20</v>
      </c>
      <c r="N84" s="425" t="s">
        <v>278</v>
      </c>
      <c r="O84" s="426" t="s">
        <v>278</v>
      </c>
    </row>
    <row r="85" spans="1:15" ht="69.75" x14ac:dyDescent="0.25">
      <c r="A85" s="379">
        <f t="shared" si="0"/>
        <v>72</v>
      </c>
      <c r="B85" s="396" t="s">
        <v>99</v>
      </c>
      <c r="C85" s="397" t="s">
        <v>131</v>
      </c>
      <c r="D85" s="397" t="s">
        <v>211</v>
      </c>
      <c r="E85" s="398" t="s">
        <v>62</v>
      </c>
      <c r="F85" s="397" t="s">
        <v>191</v>
      </c>
      <c r="G85" s="397" t="s">
        <v>177</v>
      </c>
      <c r="H85" s="397" t="s">
        <v>190</v>
      </c>
      <c r="I85" s="397" t="s">
        <v>207</v>
      </c>
      <c r="J85" s="401">
        <v>40000</v>
      </c>
      <c r="K85" s="401">
        <v>82723</v>
      </c>
      <c r="L85" s="401">
        <v>28500</v>
      </c>
      <c r="M85" s="401">
        <v>28500</v>
      </c>
      <c r="N85" s="425" t="s">
        <v>278</v>
      </c>
      <c r="O85" s="426" t="s">
        <v>278</v>
      </c>
    </row>
    <row r="86" spans="1:15" ht="46.5" x14ac:dyDescent="0.25">
      <c r="A86" s="379">
        <f t="shared" si="0"/>
        <v>73</v>
      </c>
      <c r="B86" s="396" t="s">
        <v>99</v>
      </c>
      <c r="C86" s="397" t="s">
        <v>131</v>
      </c>
      <c r="D86" s="397" t="s">
        <v>211</v>
      </c>
      <c r="E86" s="398" t="s">
        <v>63</v>
      </c>
      <c r="F86" s="397" t="s">
        <v>191</v>
      </c>
      <c r="G86" s="397" t="s">
        <v>177</v>
      </c>
      <c r="H86" s="397" t="s">
        <v>190</v>
      </c>
      <c r="I86" s="397" t="s">
        <v>204</v>
      </c>
      <c r="J86" s="401">
        <v>7000</v>
      </c>
      <c r="K86" s="401">
        <v>14623</v>
      </c>
      <c r="L86" s="401">
        <v>5000</v>
      </c>
      <c r="M86" s="401">
        <v>5000</v>
      </c>
      <c r="N86" s="425" t="s">
        <v>278</v>
      </c>
      <c r="O86" s="426" t="s">
        <v>278</v>
      </c>
    </row>
    <row r="87" spans="1:15" ht="93" x14ac:dyDescent="0.25">
      <c r="A87" s="379">
        <f t="shared" si="0"/>
        <v>74</v>
      </c>
      <c r="B87" s="396" t="s">
        <v>99</v>
      </c>
      <c r="C87" s="397" t="s">
        <v>131</v>
      </c>
      <c r="D87" s="397" t="s">
        <v>211</v>
      </c>
      <c r="E87" s="398" t="s">
        <v>50</v>
      </c>
      <c r="F87" s="397" t="s">
        <v>185</v>
      </c>
      <c r="G87" s="397" t="s">
        <v>177</v>
      </c>
      <c r="H87" s="397" t="s">
        <v>190</v>
      </c>
      <c r="I87" s="397" t="s">
        <v>183</v>
      </c>
      <c r="J87" s="399">
        <v>0.14699999999999999</v>
      </c>
      <c r="K87" s="399">
        <v>9.2999999999999999E-2</v>
      </c>
      <c r="L87" s="399">
        <v>0.13</v>
      </c>
      <c r="M87" s="399">
        <v>0.13</v>
      </c>
      <c r="N87" s="427" t="s">
        <v>278</v>
      </c>
      <c r="O87" s="428" t="s">
        <v>278</v>
      </c>
    </row>
    <row r="88" spans="1:15" ht="116.25" x14ac:dyDescent="0.25">
      <c r="A88" s="379">
        <f t="shared" si="0"/>
        <v>75</v>
      </c>
      <c r="B88" s="396" t="s">
        <v>99</v>
      </c>
      <c r="C88" s="397" t="s">
        <v>131</v>
      </c>
      <c r="D88" s="397" t="s">
        <v>211</v>
      </c>
      <c r="E88" s="398" t="s">
        <v>49</v>
      </c>
      <c r="F88" s="397" t="s">
        <v>185</v>
      </c>
      <c r="G88" s="397" t="s">
        <v>177</v>
      </c>
      <c r="H88" s="397" t="s">
        <v>190</v>
      </c>
      <c r="I88" s="397" t="s">
        <v>183</v>
      </c>
      <c r="J88" s="399">
        <v>0.13200000000000001</v>
      </c>
      <c r="K88" s="399">
        <v>3.4000000000000002E-2</v>
      </c>
      <c r="L88" s="399">
        <v>0.09</v>
      </c>
      <c r="M88" s="399">
        <v>0.09</v>
      </c>
      <c r="N88" s="427" t="s">
        <v>278</v>
      </c>
      <c r="O88" s="428" t="s">
        <v>278</v>
      </c>
    </row>
    <row r="89" spans="1:15" ht="69.75" x14ac:dyDescent="0.25">
      <c r="A89" s="379">
        <f t="shared" si="0"/>
        <v>76</v>
      </c>
      <c r="B89" s="396" t="s">
        <v>99</v>
      </c>
      <c r="C89" s="397" t="s">
        <v>131</v>
      </c>
      <c r="D89" s="397" t="s">
        <v>211</v>
      </c>
      <c r="E89" s="398" t="s">
        <v>64</v>
      </c>
      <c r="F89" s="397" t="s">
        <v>185</v>
      </c>
      <c r="G89" s="397" t="s">
        <v>177</v>
      </c>
      <c r="H89" s="397" t="s">
        <v>184</v>
      </c>
      <c r="I89" s="397" t="s">
        <v>207</v>
      </c>
      <c r="J89" s="401">
        <v>2000</v>
      </c>
      <c r="K89" s="401">
        <v>2709</v>
      </c>
      <c r="L89" s="401">
        <v>3745</v>
      </c>
      <c r="M89" s="401">
        <v>3745</v>
      </c>
      <c r="N89" s="425" t="s">
        <v>278</v>
      </c>
      <c r="O89" s="426" t="s">
        <v>278</v>
      </c>
    </row>
    <row r="90" spans="1:15" ht="46.5" x14ac:dyDescent="0.25">
      <c r="A90" s="379">
        <f t="shared" si="0"/>
        <v>77</v>
      </c>
      <c r="B90" s="396" t="s">
        <v>99</v>
      </c>
      <c r="C90" s="397" t="s">
        <v>131</v>
      </c>
      <c r="D90" s="397" t="s">
        <v>211</v>
      </c>
      <c r="E90" s="398" t="s">
        <v>53</v>
      </c>
      <c r="F90" s="397" t="s">
        <v>185</v>
      </c>
      <c r="G90" s="397" t="s">
        <v>177</v>
      </c>
      <c r="H90" s="397" t="s">
        <v>187</v>
      </c>
      <c r="I90" s="397" t="s">
        <v>186</v>
      </c>
      <c r="J90" s="399">
        <v>0.15</v>
      </c>
      <c r="K90" s="399">
        <v>0.19400000000000001</v>
      </c>
      <c r="L90" s="399">
        <v>0.161</v>
      </c>
      <c r="M90" s="399">
        <v>0.161</v>
      </c>
      <c r="N90" s="427" t="s">
        <v>278</v>
      </c>
      <c r="O90" s="428" t="s">
        <v>278</v>
      </c>
    </row>
    <row r="91" spans="1:15" ht="47.25" thickBot="1" x14ac:dyDescent="0.3">
      <c r="A91" s="379">
        <f t="shared" si="0"/>
        <v>78</v>
      </c>
      <c r="B91" s="405" t="s">
        <v>99</v>
      </c>
      <c r="C91" s="406" t="s">
        <v>131</v>
      </c>
      <c r="D91" s="406" t="s">
        <v>211</v>
      </c>
      <c r="E91" s="407" t="s">
        <v>57</v>
      </c>
      <c r="F91" s="406" t="s">
        <v>185</v>
      </c>
      <c r="G91" s="406" t="s">
        <v>177</v>
      </c>
      <c r="H91" s="406" t="s">
        <v>187</v>
      </c>
      <c r="I91" s="406" t="s">
        <v>186</v>
      </c>
      <c r="J91" s="429">
        <v>0.08</v>
      </c>
      <c r="K91" s="429">
        <v>0.10100000000000001</v>
      </c>
      <c r="L91" s="429">
        <v>8.5999999999999993E-2</v>
      </c>
      <c r="M91" s="429">
        <v>8.5999999999999993E-2</v>
      </c>
      <c r="N91" s="430" t="s">
        <v>278</v>
      </c>
      <c r="O91" s="431" t="s">
        <v>278</v>
      </c>
    </row>
    <row r="92" spans="1:15" ht="23.25" x14ac:dyDescent="0.25">
      <c r="B92" s="830" t="s">
        <v>305</v>
      </c>
      <c r="C92" s="831"/>
      <c r="D92" s="831"/>
      <c r="E92" s="831"/>
    </row>
  </sheetData>
  <autoFilter ref="B9:O92" xr:uid="{00000000-0009-0000-0000-00000E000000}"/>
  <sortState xmlns:xlrd2="http://schemas.microsoft.com/office/spreadsheetml/2017/richdata2" ref="B81:O91">
    <sortCondition ref="E81:E91"/>
  </sortState>
  <mergeCells count="5">
    <mergeCell ref="B1:O1"/>
    <mergeCell ref="B2:O2"/>
    <mergeCell ref="B4:O4"/>
    <mergeCell ref="B5:O5"/>
    <mergeCell ref="B92:E92"/>
  </mergeCells>
  <printOptions horizontalCentered="1"/>
  <pageMargins left="0.47244094488188981" right="0.36" top="0.59" bottom="0.53" header="0.31496062992125984" footer="0.31496062992125984"/>
  <pageSetup scale="3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91"/>
  <sheetViews>
    <sheetView topLeftCell="D1" zoomScale="90" zoomScaleNormal="90" workbookViewId="0">
      <pane ySplit="7" topLeftCell="A8" activePane="bottomLeft" state="frozen"/>
      <selection activeCell="G53" sqref="G53"/>
      <selection pane="bottomLeft" activeCell="E11" sqref="E11"/>
    </sheetView>
  </sheetViews>
  <sheetFormatPr baseColWidth="10" defaultColWidth="8.7109375" defaultRowHeight="15" x14ac:dyDescent="0.25"/>
  <cols>
    <col min="1" max="1" width="6" hidden="1" customWidth="1"/>
    <col min="2" max="2" width="23.5703125" hidden="1" customWidth="1"/>
    <col min="3" max="3" width="10.85546875" hidden="1" customWidth="1"/>
    <col min="4" max="4" width="8.42578125" customWidth="1"/>
    <col min="5" max="5" width="24.5703125" customWidth="1"/>
    <col min="6" max="6" width="6.140625" hidden="1" customWidth="1"/>
    <col min="7" max="7" width="25.42578125" customWidth="1"/>
    <col min="8" max="8" width="11.28515625" customWidth="1"/>
    <col min="9" max="9" width="9.7109375" customWidth="1"/>
    <col min="10" max="10" width="16.7109375" customWidth="1"/>
    <col min="11" max="11" width="13.28515625" customWidth="1"/>
    <col min="12" max="12" width="12.7109375" style="5" customWidth="1"/>
    <col min="13" max="13" width="11.42578125" style="5" customWidth="1"/>
    <col min="14" max="14" width="11.85546875" style="5" customWidth="1"/>
    <col min="15" max="15" width="12.42578125" style="5" customWidth="1"/>
    <col min="16" max="17" width="12.140625" style="5" customWidth="1"/>
    <col min="18" max="18" width="10.85546875" style="235" customWidth="1"/>
    <col min="19" max="19" width="13.85546875" style="5" customWidth="1"/>
    <col min="20" max="20" width="10.7109375" style="5" customWidth="1"/>
    <col min="21" max="22" width="12.85546875" style="5" customWidth="1"/>
    <col min="23" max="23" width="13.85546875" style="5" customWidth="1"/>
    <col min="24" max="24" width="13" style="5" customWidth="1"/>
    <col min="25" max="25" width="10.7109375" style="5" customWidth="1"/>
    <col min="26" max="26" width="10.42578125" style="5" customWidth="1"/>
    <col min="27" max="27" width="12.7109375" style="5" customWidth="1"/>
    <col min="28" max="28" width="13.140625" style="5" customWidth="1"/>
    <col min="29" max="29" width="11.85546875" style="5" customWidth="1"/>
    <col min="30" max="30" width="13.28515625" customWidth="1"/>
    <col min="31" max="31" width="13" bestFit="1" customWidth="1"/>
    <col min="32" max="33" width="12.140625" bestFit="1" customWidth="1"/>
    <col min="34" max="34" width="12.7109375" bestFit="1" customWidth="1"/>
    <col min="35" max="35" width="12" customWidth="1"/>
    <col min="36" max="36" width="11" customWidth="1"/>
    <col min="37" max="37" width="29.42578125" customWidth="1"/>
    <col min="38" max="38" width="38.85546875" customWidth="1"/>
    <col min="40" max="40" width="20.28515625" customWidth="1"/>
  </cols>
  <sheetData>
    <row r="1" spans="1:39" ht="31.5" x14ac:dyDescent="0.25">
      <c r="D1" s="787" t="s">
        <v>0</v>
      </c>
    </row>
    <row r="4" spans="1:39" ht="15.75" hidden="1" thickBot="1" x14ac:dyDescent="0.3">
      <c r="B4" s="555">
        <v>1</v>
      </c>
      <c r="C4" s="556">
        <v>2</v>
      </c>
      <c r="D4" s="556">
        <v>3</v>
      </c>
      <c r="E4" s="556">
        <v>4</v>
      </c>
      <c r="F4" s="556">
        <v>5</v>
      </c>
      <c r="G4" s="556">
        <v>6</v>
      </c>
      <c r="H4" s="556">
        <v>7</v>
      </c>
      <c r="I4" s="556">
        <v>8</v>
      </c>
      <c r="J4" s="556">
        <v>9</v>
      </c>
      <c r="K4" s="556">
        <v>10</v>
      </c>
      <c r="L4" s="556">
        <v>11</v>
      </c>
      <c r="M4" s="556">
        <v>12</v>
      </c>
      <c r="N4" s="556">
        <v>13</v>
      </c>
      <c r="O4" s="556">
        <v>14</v>
      </c>
      <c r="P4" s="556">
        <v>15</v>
      </c>
      <c r="Q4" s="556">
        <v>16</v>
      </c>
      <c r="R4" s="556">
        <v>17</v>
      </c>
      <c r="S4" s="556">
        <v>18</v>
      </c>
      <c r="T4" s="556">
        <v>19</v>
      </c>
      <c r="U4" s="556">
        <v>20</v>
      </c>
      <c r="V4" s="556">
        <v>21</v>
      </c>
      <c r="W4" s="556">
        <v>22</v>
      </c>
      <c r="X4" s="556">
        <v>23</v>
      </c>
      <c r="Y4" s="556">
        <v>24</v>
      </c>
      <c r="Z4" s="556">
        <v>25</v>
      </c>
      <c r="AA4" s="556">
        <v>26</v>
      </c>
      <c r="AB4" s="556">
        <v>27</v>
      </c>
      <c r="AC4" s="556">
        <v>28</v>
      </c>
      <c r="AD4" s="556">
        <v>29</v>
      </c>
      <c r="AE4" s="556">
        <v>30</v>
      </c>
      <c r="AF4" s="556">
        <v>31</v>
      </c>
      <c r="AG4" s="556">
        <v>32</v>
      </c>
      <c r="AH4" s="556">
        <v>33</v>
      </c>
      <c r="AI4" s="556">
        <v>34</v>
      </c>
      <c r="AJ4" s="556">
        <v>35</v>
      </c>
      <c r="AK4" s="556">
        <v>36</v>
      </c>
      <c r="AL4" s="556">
        <v>37</v>
      </c>
      <c r="AM4" s="557">
        <v>38</v>
      </c>
    </row>
    <row r="5" spans="1:39" s="554" customFormat="1" x14ac:dyDescent="0.25">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row>
    <row r="6" spans="1:39" ht="32.25" thickBot="1" x14ac:dyDescent="0.3">
      <c r="G6" s="1"/>
      <c r="H6" s="1"/>
      <c r="I6" s="1"/>
      <c r="J6" s="1"/>
      <c r="K6" s="1"/>
      <c r="L6" s="6"/>
      <c r="M6" s="6"/>
      <c r="N6" s="798" t="s">
        <v>104</v>
      </c>
      <c r="O6" s="799"/>
      <c r="P6" s="800"/>
      <c r="Q6" s="801" t="s">
        <v>106</v>
      </c>
      <c r="R6" s="801"/>
      <c r="S6" s="801"/>
      <c r="T6" s="801"/>
      <c r="U6" s="801"/>
      <c r="V6" s="801"/>
      <c r="W6" s="798" t="s">
        <v>108</v>
      </c>
      <c r="X6" s="799"/>
      <c r="Y6" s="799"/>
      <c r="Z6" s="799"/>
      <c r="AA6" s="799"/>
      <c r="AB6" s="799"/>
      <c r="AC6" s="800"/>
      <c r="AD6" s="798" t="s">
        <v>372</v>
      </c>
      <c r="AE6" s="799"/>
      <c r="AF6" s="799"/>
      <c r="AG6" s="799"/>
      <c r="AH6" s="799"/>
      <c r="AI6" s="799"/>
      <c r="AJ6" s="800"/>
    </row>
    <row r="7" spans="1:39" ht="60.75" thickBot="1" x14ac:dyDescent="0.3">
      <c r="A7" t="s">
        <v>308</v>
      </c>
      <c r="B7" s="474" t="s">
        <v>83</v>
      </c>
      <c r="C7" s="193" t="s">
        <v>259</v>
      </c>
      <c r="D7" s="194" t="s">
        <v>100</v>
      </c>
      <c r="E7" s="194" t="s">
        <v>122</v>
      </c>
      <c r="F7" s="194" t="s">
        <v>213</v>
      </c>
      <c r="G7" s="194" t="s">
        <v>83</v>
      </c>
      <c r="H7" s="194" t="s">
        <v>174</v>
      </c>
      <c r="I7" s="194" t="s">
        <v>176</v>
      </c>
      <c r="J7" s="194" t="s">
        <v>173</v>
      </c>
      <c r="K7" s="194" t="s">
        <v>172</v>
      </c>
      <c r="L7" s="195" t="s">
        <v>1</v>
      </c>
      <c r="M7" s="199" t="s">
        <v>215</v>
      </c>
      <c r="N7" s="208" t="s">
        <v>88</v>
      </c>
      <c r="O7" s="192" t="s">
        <v>80</v>
      </c>
      <c r="P7" s="209" t="s">
        <v>103</v>
      </c>
      <c r="Q7" s="69" t="s">
        <v>89</v>
      </c>
      <c r="R7" s="69" t="s">
        <v>139</v>
      </c>
      <c r="S7" s="67" t="s">
        <v>81</v>
      </c>
      <c r="T7" s="24" t="s">
        <v>141</v>
      </c>
      <c r="U7" s="24" t="s">
        <v>105</v>
      </c>
      <c r="V7" s="276" t="s">
        <v>153</v>
      </c>
      <c r="W7" s="283" t="s">
        <v>90</v>
      </c>
      <c r="X7" s="284" t="s">
        <v>140</v>
      </c>
      <c r="Y7" s="284" t="s">
        <v>82</v>
      </c>
      <c r="Z7" s="284" t="s">
        <v>142</v>
      </c>
      <c r="AA7" s="284" t="s">
        <v>107</v>
      </c>
      <c r="AB7" s="284" t="s">
        <v>153</v>
      </c>
      <c r="AC7" s="285" t="s">
        <v>114</v>
      </c>
      <c r="AD7" s="250" t="s">
        <v>143</v>
      </c>
      <c r="AE7" s="24" t="s">
        <v>144</v>
      </c>
      <c r="AF7" s="284" t="s">
        <v>270</v>
      </c>
      <c r="AG7" s="284" t="s">
        <v>271</v>
      </c>
      <c r="AH7" s="284" t="s">
        <v>272</v>
      </c>
      <c r="AI7" s="284" t="s">
        <v>153</v>
      </c>
      <c r="AJ7" s="80" t="s">
        <v>316</v>
      </c>
      <c r="AK7" s="69" t="s">
        <v>102</v>
      </c>
      <c r="AL7" s="105" t="s">
        <v>85</v>
      </c>
      <c r="AM7" s="80"/>
    </row>
    <row r="8" spans="1:39" ht="30" x14ac:dyDescent="0.25">
      <c r="B8" s="576" t="s">
        <v>2</v>
      </c>
      <c r="C8" s="196" t="s">
        <v>110</v>
      </c>
      <c r="D8" s="46" t="s">
        <v>101</v>
      </c>
      <c r="E8" s="59" t="s">
        <v>123</v>
      </c>
      <c r="F8" s="46" t="s">
        <v>211</v>
      </c>
      <c r="G8" s="4" t="s">
        <v>2</v>
      </c>
      <c r="H8" s="46" t="s">
        <v>185</v>
      </c>
      <c r="I8" s="46" t="s">
        <v>177</v>
      </c>
      <c r="J8" s="788" t="s">
        <v>184</v>
      </c>
      <c r="K8" s="59" t="s">
        <v>186</v>
      </c>
      <c r="L8" s="32">
        <v>0.83</v>
      </c>
      <c r="M8" s="168">
        <v>0.77300000000000002</v>
      </c>
      <c r="N8" s="47">
        <v>0.79600000000000004</v>
      </c>
      <c r="O8" s="32">
        <v>0.77810000000000001</v>
      </c>
      <c r="P8" s="123">
        <f>+(O8-M8)/(N8-M8)</f>
        <v>0.22173913043478213</v>
      </c>
      <c r="Q8" s="157">
        <v>0.80400000000000005</v>
      </c>
      <c r="R8" s="229">
        <v>0.80400000000000005</v>
      </c>
      <c r="S8" s="110">
        <v>0.79479999999999995</v>
      </c>
      <c r="T8" s="110">
        <v>0.79479999999999995</v>
      </c>
      <c r="U8" s="30">
        <f>+(S8-M8)/(Q8-M8)</f>
        <v>0.70322580645161004</v>
      </c>
      <c r="V8" s="30">
        <f>+(T8-M8)/(L8-M8)</f>
        <v>0.38245614035087638</v>
      </c>
      <c r="W8" s="440">
        <v>0.81899999999999995</v>
      </c>
      <c r="X8" s="278">
        <v>0.81899999999999995</v>
      </c>
      <c r="Y8" s="308">
        <v>0.80110000000000003</v>
      </c>
      <c r="Z8" s="280">
        <v>0.80110000000000003</v>
      </c>
      <c r="AA8" s="281">
        <f>+(Y8-M8)/(W8-M8)</f>
        <v>0.61086956521739255</v>
      </c>
      <c r="AB8" s="281">
        <f>+(Z8-M8)/(L8-M8)</f>
        <v>0.49298245614035163</v>
      </c>
      <c r="AC8" s="282" t="s">
        <v>115</v>
      </c>
      <c r="AD8" s="251">
        <v>0.83</v>
      </c>
      <c r="AE8" s="111">
        <f>+L8</f>
        <v>0.83</v>
      </c>
      <c r="AF8" s="444">
        <f>+Y8</f>
        <v>0.80110000000000003</v>
      </c>
      <c r="AG8" s="444">
        <f>+Z8</f>
        <v>0.80110000000000003</v>
      </c>
      <c r="AH8" s="462">
        <f>+(AF8-M8)/(AD8-M8)</f>
        <v>0.49298245614035163</v>
      </c>
      <c r="AI8" s="281">
        <f>+(AG8-M8)/(AE8-M8)</f>
        <v>0.49298245614035163</v>
      </c>
      <c r="AJ8" s="169">
        <f>+AH8</f>
        <v>0.49298245614035163</v>
      </c>
      <c r="AK8" s="70" t="s">
        <v>375</v>
      </c>
      <c r="AL8" s="269"/>
      <c r="AM8" s="246"/>
    </row>
    <row r="9" spans="1:39" ht="30" x14ac:dyDescent="0.25">
      <c r="B9" s="577" t="s">
        <v>3</v>
      </c>
      <c r="C9" s="196" t="s">
        <v>110</v>
      </c>
      <c r="D9" s="46" t="s">
        <v>101</v>
      </c>
      <c r="E9" s="59" t="s">
        <v>123</v>
      </c>
      <c r="F9" s="46" t="s">
        <v>211</v>
      </c>
      <c r="G9" s="4" t="s">
        <v>3</v>
      </c>
      <c r="H9" s="46" t="s">
        <v>185</v>
      </c>
      <c r="I9" s="46" t="s">
        <v>177</v>
      </c>
      <c r="J9" s="788" t="s">
        <v>184</v>
      </c>
      <c r="K9" s="59" t="s">
        <v>186</v>
      </c>
      <c r="L9" s="32">
        <v>0.45</v>
      </c>
      <c r="M9" s="168">
        <v>0.372</v>
      </c>
      <c r="N9" s="47">
        <v>0.39219999999999999</v>
      </c>
      <c r="O9" s="32">
        <v>0.39700000000000002</v>
      </c>
      <c r="P9" s="123">
        <f t="shared" ref="P9" si="0">+(O9-M9)/(N9-M9)</f>
        <v>1.2376237623762389</v>
      </c>
      <c r="Q9" s="158">
        <v>0.41149999999999998</v>
      </c>
      <c r="R9" s="230">
        <v>0.41149999999999998</v>
      </c>
      <c r="S9" s="32">
        <v>0.45700000000000002</v>
      </c>
      <c r="T9" s="32">
        <v>0.45700000000000002</v>
      </c>
      <c r="U9" s="30">
        <f t="shared" ref="U9" si="1">+(S9-M9)/(Q9-M9)</f>
        <v>2.1518987341772169</v>
      </c>
      <c r="V9" s="30">
        <f>+(T9-M9)/(L9-M9)</f>
        <v>1.0897435897435899</v>
      </c>
      <c r="W9" s="158">
        <v>0.43009999999999998</v>
      </c>
      <c r="X9" s="33">
        <v>0.43009999999999998</v>
      </c>
      <c r="Y9" s="570">
        <f>+S9</f>
        <v>0.45700000000000002</v>
      </c>
      <c r="Z9" s="464">
        <f>+Y9</f>
        <v>0.45700000000000002</v>
      </c>
      <c r="AA9" s="281">
        <f>+(Y9-M9)/(W9-M9)</f>
        <v>1.462994836488813</v>
      </c>
      <c r="AB9" s="281">
        <f>+(Z9-M9)/(L9-M9)</f>
        <v>1.0897435897435899</v>
      </c>
      <c r="AC9" s="123" t="s">
        <v>371</v>
      </c>
      <c r="AD9" s="252">
        <v>0.45</v>
      </c>
      <c r="AE9" s="33">
        <f>+L9</f>
        <v>0.45</v>
      </c>
      <c r="AF9" s="370">
        <f>+Y9</f>
        <v>0.45700000000000002</v>
      </c>
      <c r="AG9" s="370">
        <f>+AF9</f>
        <v>0.45700000000000002</v>
      </c>
      <c r="AH9" s="462">
        <f>+(AF9-M9)/(AD9-M9)</f>
        <v>1.0897435897435899</v>
      </c>
      <c r="AI9" s="281">
        <f>+(AG9-M9)/(AE9-M9)</f>
        <v>1.0897435897435899</v>
      </c>
      <c r="AJ9" s="168">
        <f>+AH9</f>
        <v>1.0897435897435899</v>
      </c>
      <c r="AK9" s="70" t="s">
        <v>438</v>
      </c>
      <c r="AL9" s="270"/>
      <c r="AM9" s="168"/>
    </row>
    <row r="10" spans="1:39" ht="60" x14ac:dyDescent="0.25">
      <c r="B10" s="576" t="s">
        <v>4</v>
      </c>
      <c r="C10" s="196" t="s">
        <v>110</v>
      </c>
      <c r="D10" s="46" t="s">
        <v>101</v>
      </c>
      <c r="E10" s="59" t="s">
        <v>123</v>
      </c>
      <c r="F10" s="46" t="s">
        <v>211</v>
      </c>
      <c r="G10" s="4" t="s">
        <v>4</v>
      </c>
      <c r="H10" s="46" t="s">
        <v>185</v>
      </c>
      <c r="I10" s="46" t="s">
        <v>177</v>
      </c>
      <c r="J10" s="788" t="s">
        <v>190</v>
      </c>
      <c r="K10" s="59" t="s">
        <v>183</v>
      </c>
      <c r="L10" s="32">
        <v>0.93</v>
      </c>
      <c r="M10" s="168">
        <v>0.871</v>
      </c>
      <c r="N10" s="47">
        <v>0.8901</v>
      </c>
      <c r="O10" s="32">
        <v>0.86770000000000003</v>
      </c>
      <c r="P10" s="123">
        <f>+O10/N10</f>
        <v>0.97483428828221552</v>
      </c>
      <c r="Q10" s="158">
        <v>0.91090000000000004</v>
      </c>
      <c r="R10" s="230">
        <v>0.91090000000000004</v>
      </c>
      <c r="S10" s="32">
        <v>0.86699999999999999</v>
      </c>
      <c r="T10" s="31">
        <v>0.86699999999999999</v>
      </c>
      <c r="U10" s="30">
        <f>+S10/Q10</f>
        <v>0.95180590624656924</v>
      </c>
      <c r="V10" s="30">
        <f>+T10/R10</f>
        <v>0.95180590624656924</v>
      </c>
      <c r="W10" s="158">
        <v>0.91681999999999997</v>
      </c>
      <c r="X10" s="34">
        <v>0.91681999999999997</v>
      </c>
      <c r="Y10" s="308">
        <v>0.86040000000000005</v>
      </c>
      <c r="Z10" s="60">
        <v>0.86040000000000005</v>
      </c>
      <c r="AA10" s="281">
        <f>+Y10/W10</f>
        <v>0.938461202853341</v>
      </c>
      <c r="AB10" s="30">
        <f>+Z10/X10</f>
        <v>0.938461202853341</v>
      </c>
      <c r="AC10" s="123" t="s">
        <v>115</v>
      </c>
      <c r="AD10" s="252">
        <v>0.93</v>
      </c>
      <c r="AE10" s="33">
        <f>+L10</f>
        <v>0.93</v>
      </c>
      <c r="AF10" s="370">
        <f>+Y10</f>
        <v>0.86040000000000005</v>
      </c>
      <c r="AG10" s="370">
        <f>+AF10</f>
        <v>0.86040000000000005</v>
      </c>
      <c r="AH10" s="462">
        <f>+AF10/AD10</f>
        <v>0.92516129032258065</v>
      </c>
      <c r="AI10" s="30">
        <f>+AG10/AE10</f>
        <v>0.92516129032258065</v>
      </c>
      <c r="AJ10" s="168">
        <f>+AH10</f>
        <v>0.92516129032258065</v>
      </c>
      <c r="AK10" s="70" t="s">
        <v>434</v>
      </c>
      <c r="AL10" s="270"/>
      <c r="AM10" s="168"/>
    </row>
    <row r="11" spans="1:39" ht="60" x14ac:dyDescent="0.25">
      <c r="B11" s="576" t="s">
        <v>5</v>
      </c>
      <c r="C11" s="197" t="s">
        <v>110</v>
      </c>
      <c r="D11" s="46" t="s">
        <v>101</v>
      </c>
      <c r="E11" s="59" t="s">
        <v>123</v>
      </c>
      <c r="F11" s="46" t="s">
        <v>211</v>
      </c>
      <c r="G11" s="4" t="s">
        <v>5</v>
      </c>
      <c r="H11" s="46" t="s">
        <v>185</v>
      </c>
      <c r="I11" s="46" t="s">
        <v>177</v>
      </c>
      <c r="J11" s="788" t="s">
        <v>187</v>
      </c>
      <c r="K11" s="59" t="s">
        <v>183</v>
      </c>
      <c r="L11" s="13">
        <v>2.5000000000000001E-2</v>
      </c>
      <c r="M11" s="168">
        <v>3.1E-2</v>
      </c>
      <c r="N11" s="50">
        <v>3.0300000000000001E-2</v>
      </c>
      <c r="O11" s="13">
        <v>3.2599999999999997E-2</v>
      </c>
      <c r="P11" s="123">
        <f>(M11-O11)/(M11-N11)</f>
        <v>-2.2857142857142843</v>
      </c>
      <c r="Q11" s="158">
        <v>2.9499999999999998E-2</v>
      </c>
      <c r="R11" s="150">
        <v>2.9499999999999998E-2</v>
      </c>
      <c r="S11" s="32">
        <v>3.7199999999999997E-2</v>
      </c>
      <c r="T11" s="14">
        <v>3.7199999999999997E-2</v>
      </c>
      <c r="U11" s="437">
        <f>+(M11-S11)/(M11-Q11)</f>
        <v>-4.1333333333333275</v>
      </c>
      <c r="V11" s="442">
        <f>+(M11-T11)/(M11-L11)</f>
        <v>-1.0333333333333332</v>
      </c>
      <c r="W11" s="51">
        <v>2.8799999999999999E-2</v>
      </c>
      <c r="X11" s="83">
        <v>2.8799999999999999E-2</v>
      </c>
      <c r="Y11" s="308">
        <v>3.0800000000000001E-2</v>
      </c>
      <c r="Z11" s="60">
        <v>3.0800000000000001E-2</v>
      </c>
      <c r="AA11" s="30">
        <f>+(M11-Y11)/(M11-W11)</f>
        <v>9.0909090909090329E-2</v>
      </c>
      <c r="AB11" s="30">
        <f>(M11-Z11)/(M11-X11)</f>
        <v>9.0909090909090329E-2</v>
      </c>
      <c r="AC11" s="123" t="s">
        <v>115</v>
      </c>
      <c r="AD11" s="253">
        <v>2.5000000000000001E-2</v>
      </c>
      <c r="AE11" s="26">
        <f>+L11</f>
        <v>2.5000000000000001E-2</v>
      </c>
      <c r="AF11" s="445">
        <f>+Y11</f>
        <v>3.0800000000000001E-2</v>
      </c>
      <c r="AG11" s="445">
        <f>+Z11</f>
        <v>3.0800000000000001E-2</v>
      </c>
      <c r="AH11" s="463">
        <f>(M11-AF11)/(M11-AD11)</f>
        <v>3.3333333333333139E-2</v>
      </c>
      <c r="AI11" s="30">
        <f>+(M11-AG11)/(M11-AE11)</f>
        <v>3.3333333333333139E-2</v>
      </c>
      <c r="AJ11" s="168">
        <f>+AH11</f>
        <v>3.3333333333333139E-2</v>
      </c>
      <c r="AK11" s="70" t="s">
        <v>437</v>
      </c>
      <c r="AL11" s="270"/>
      <c r="AM11" s="167"/>
    </row>
    <row r="12" spans="1:39" ht="45" x14ac:dyDescent="0.25">
      <c r="B12" s="576" t="s">
        <v>156</v>
      </c>
      <c r="C12" s="196" t="s">
        <v>110</v>
      </c>
      <c r="D12" s="46" t="s">
        <v>101</v>
      </c>
      <c r="E12" s="59" t="s">
        <v>123</v>
      </c>
      <c r="F12" s="46" t="s">
        <v>212</v>
      </c>
      <c r="G12" s="455" t="s">
        <v>156</v>
      </c>
      <c r="H12" s="46" t="s">
        <v>185</v>
      </c>
      <c r="I12" s="46" t="s">
        <v>177</v>
      </c>
      <c r="J12" s="788" t="s">
        <v>184</v>
      </c>
      <c r="K12" s="59" t="s">
        <v>186</v>
      </c>
      <c r="L12" s="13">
        <v>0.69</v>
      </c>
      <c r="M12" s="168">
        <v>0.621</v>
      </c>
      <c r="N12" s="50">
        <v>0.63278000000000001</v>
      </c>
      <c r="O12" s="14">
        <v>0.63139999999999996</v>
      </c>
      <c r="P12" s="123">
        <f>+(O12-M12)/(N12-M12)</f>
        <v>0.88285229202036963</v>
      </c>
      <c r="Q12" s="158">
        <v>0.65627000000000002</v>
      </c>
      <c r="R12" s="231">
        <v>0.65629999999999999</v>
      </c>
      <c r="S12" s="32">
        <v>0.64980000000000004</v>
      </c>
      <c r="T12" s="14">
        <v>0.64980000000000004</v>
      </c>
      <c r="U12" s="30">
        <f>+(S12-M12)/(Q12-M12)</f>
        <v>0.81655798128721369</v>
      </c>
      <c r="V12" s="30">
        <f>+(T12-M12)/(L12-M12)</f>
        <v>0.41739130434782706</v>
      </c>
      <c r="W12" s="158">
        <v>0.67976000000000003</v>
      </c>
      <c r="X12" s="83">
        <v>0.67976000000000003</v>
      </c>
      <c r="Y12" s="308">
        <v>0.66759999999999997</v>
      </c>
      <c r="Z12" s="60">
        <f>+Y12</f>
        <v>0.66759999999999997</v>
      </c>
      <c r="AA12" s="281">
        <f>+(Y12-M12)/(W12-M12)</f>
        <v>0.79305650102110192</v>
      </c>
      <c r="AB12" s="281">
        <f>+(Z12-M12)/(L12-M12)</f>
        <v>0.67536231884057984</v>
      </c>
      <c r="AC12" s="123" t="s">
        <v>115</v>
      </c>
      <c r="AD12" s="252">
        <v>0.69</v>
      </c>
      <c r="AE12" s="26">
        <f>+L12</f>
        <v>0.69</v>
      </c>
      <c r="AF12" s="445">
        <f>+Y12</f>
        <v>0.66759999999999997</v>
      </c>
      <c r="AG12" s="445">
        <f>+AF12</f>
        <v>0.66759999999999997</v>
      </c>
      <c r="AH12" s="462">
        <f>+(AF12-M12)/(AD12-M12)</f>
        <v>0.67536231884057984</v>
      </c>
      <c r="AI12" s="281">
        <f>+(AG12-M12)/(AE12-M12)</f>
        <v>0.67536231884057984</v>
      </c>
      <c r="AJ12" s="168">
        <f t="shared" ref="AJ12" si="2">+AH12</f>
        <v>0.67536231884057984</v>
      </c>
      <c r="AK12" s="70" t="s">
        <v>437</v>
      </c>
      <c r="AL12" s="270"/>
      <c r="AM12" s="167"/>
    </row>
    <row r="13" spans="1:39" ht="75" x14ac:dyDescent="0.25">
      <c r="B13" s="576" t="s">
        <v>7</v>
      </c>
      <c r="C13" s="196" t="s">
        <v>110</v>
      </c>
      <c r="D13" s="46" t="s">
        <v>101</v>
      </c>
      <c r="E13" s="59" t="s">
        <v>124</v>
      </c>
      <c r="F13" s="46" t="s">
        <v>211</v>
      </c>
      <c r="G13" s="4" t="s">
        <v>7</v>
      </c>
      <c r="H13" s="46" t="s">
        <v>175</v>
      </c>
      <c r="I13" s="46" t="s">
        <v>177</v>
      </c>
      <c r="J13" s="788" t="s">
        <v>188</v>
      </c>
      <c r="K13" s="59" t="s">
        <v>189</v>
      </c>
      <c r="L13" s="29">
        <v>1000</v>
      </c>
      <c r="M13" s="200">
        <v>168</v>
      </c>
      <c r="N13" s="79">
        <v>150</v>
      </c>
      <c r="O13" s="17">
        <v>486</v>
      </c>
      <c r="P13" s="123">
        <f>+O13/N13</f>
        <v>3.24</v>
      </c>
      <c r="Q13" s="180">
        <v>300</v>
      </c>
      <c r="R13" s="232">
        <f>+N13+Q13</f>
        <v>450</v>
      </c>
      <c r="S13" s="18">
        <v>248</v>
      </c>
      <c r="T13" s="18">
        <f>+O13+S13</f>
        <v>734</v>
      </c>
      <c r="U13" s="438">
        <f>+S13/Q13</f>
        <v>0.82666666666666666</v>
      </c>
      <c r="V13" s="442">
        <f>+T13/$R13</f>
        <v>1.6311111111111112</v>
      </c>
      <c r="W13" s="56">
        <f>350</f>
        <v>350</v>
      </c>
      <c r="X13" s="36">
        <f>+R13+W13</f>
        <v>800</v>
      </c>
      <c r="Y13" s="460">
        <v>62</v>
      </c>
      <c r="Z13" s="63">
        <f>+T13+Y13</f>
        <v>796</v>
      </c>
      <c r="AA13" s="30">
        <f>+Y13/W13</f>
        <v>0.17714285714285713</v>
      </c>
      <c r="AB13" s="30">
        <f>+Z13/$X13</f>
        <v>0.995</v>
      </c>
      <c r="AC13" s="126" t="s">
        <v>115</v>
      </c>
      <c r="AD13" s="254">
        <v>200</v>
      </c>
      <c r="AE13" s="35">
        <f>+X13+AD13</f>
        <v>1000</v>
      </c>
      <c r="AF13" s="165">
        <v>194</v>
      </c>
      <c r="AG13" s="165">
        <f>+Z13+AF13</f>
        <v>990</v>
      </c>
      <c r="AH13" s="30">
        <f t="shared" ref="AH13" si="3">+AF13/AD13</f>
        <v>0.97</v>
      </c>
      <c r="AI13" s="463">
        <f>+AG13/AE13</f>
        <v>0.99</v>
      </c>
      <c r="AJ13" s="168">
        <f>+AI13</f>
        <v>0.99</v>
      </c>
      <c r="AK13" s="70" t="s">
        <v>447</v>
      </c>
      <c r="AL13" s="270"/>
      <c r="AM13" s="165"/>
    </row>
    <row r="14" spans="1:39" ht="105" x14ac:dyDescent="0.25">
      <c r="B14" s="577" t="s">
        <v>8</v>
      </c>
      <c r="C14" s="196" t="s">
        <v>110</v>
      </c>
      <c r="D14" s="46" t="s">
        <v>101</v>
      </c>
      <c r="E14" s="59" t="s">
        <v>125</v>
      </c>
      <c r="F14" s="46" t="s">
        <v>211</v>
      </c>
      <c r="G14" s="4" t="s">
        <v>8</v>
      </c>
      <c r="H14" s="46" t="s">
        <v>185</v>
      </c>
      <c r="I14" s="46" t="s">
        <v>177</v>
      </c>
      <c r="J14" s="788" t="s">
        <v>190</v>
      </c>
      <c r="K14" s="59" t="s">
        <v>183</v>
      </c>
      <c r="L14" s="13">
        <v>0.45</v>
      </c>
      <c r="M14" s="168">
        <v>0.371</v>
      </c>
      <c r="N14" s="50">
        <v>0.38854</v>
      </c>
      <c r="O14" s="14">
        <v>0.42159999999999997</v>
      </c>
      <c r="P14" s="123">
        <f>+O14/N14</f>
        <v>1.0850877644515364</v>
      </c>
      <c r="Q14" s="158">
        <v>0.40622999999999998</v>
      </c>
      <c r="R14" s="231">
        <v>0.40620000000000001</v>
      </c>
      <c r="S14" s="32">
        <v>0.38200000000000001</v>
      </c>
      <c r="T14" s="14">
        <v>0.38200000000000001</v>
      </c>
      <c r="U14" s="32">
        <f>+S14/Q14</f>
        <v>0.94035398665780479</v>
      </c>
      <c r="V14" s="30">
        <f>+T14/R14</f>
        <v>0.94042343673067452</v>
      </c>
      <c r="W14" s="158">
        <v>0.42392000000000002</v>
      </c>
      <c r="X14" s="83">
        <v>0.42392000000000002</v>
      </c>
      <c r="Y14" s="311">
        <v>0.35499999999999998</v>
      </c>
      <c r="Z14" s="60">
        <f>+Y14</f>
        <v>0.35499999999999998</v>
      </c>
      <c r="AA14" s="699">
        <f>+Y14/W14</f>
        <v>0.83742215512360818</v>
      </c>
      <c r="AB14" s="30">
        <f>+Z14/X14</f>
        <v>0.83742215512360818</v>
      </c>
      <c r="AC14" s="123" t="s">
        <v>115</v>
      </c>
      <c r="AD14" s="252">
        <v>0.45</v>
      </c>
      <c r="AE14" s="26">
        <f t="shared" ref="AE14:AE33" si="4">+L14</f>
        <v>0.45</v>
      </c>
      <c r="AF14" s="445">
        <v>0.32129999999999997</v>
      </c>
      <c r="AG14" s="445">
        <f>+AF14</f>
        <v>0.32129999999999997</v>
      </c>
      <c r="AH14" s="462">
        <f>+AF14/AD14</f>
        <v>0.71399999999999997</v>
      </c>
      <c r="AI14" s="30">
        <f>+AG14/AE14</f>
        <v>0.71399999999999997</v>
      </c>
      <c r="AJ14" s="168">
        <f t="shared" ref="AJ14:AJ16" si="5">+AI14</f>
        <v>0.71399999999999997</v>
      </c>
      <c r="AK14" s="70" t="s">
        <v>449</v>
      </c>
      <c r="AL14" s="270"/>
      <c r="AM14" s="167"/>
    </row>
    <row r="15" spans="1:39" ht="255" x14ac:dyDescent="0.25">
      <c r="A15" s="446" t="s">
        <v>314</v>
      </c>
      <c r="B15" s="578" t="s">
        <v>9</v>
      </c>
      <c r="C15" s="497" t="s">
        <v>110</v>
      </c>
      <c r="D15" s="46" t="s">
        <v>101</v>
      </c>
      <c r="E15" s="59" t="s">
        <v>125</v>
      </c>
      <c r="F15" s="46" t="s">
        <v>212</v>
      </c>
      <c r="G15" s="455" t="s">
        <v>9</v>
      </c>
      <c r="H15" s="46" t="s">
        <v>185</v>
      </c>
      <c r="I15" s="46" t="s">
        <v>177</v>
      </c>
      <c r="J15" s="788" t="s">
        <v>184</v>
      </c>
      <c r="K15" s="59" t="s">
        <v>183</v>
      </c>
      <c r="L15" s="13">
        <v>0.42</v>
      </c>
      <c r="M15" s="168">
        <v>0.35699999999999998</v>
      </c>
      <c r="N15" s="50">
        <v>0.37385000000000002</v>
      </c>
      <c r="O15" s="14">
        <v>0.42659999999999998</v>
      </c>
      <c r="P15" s="249">
        <f>+O15/N15</f>
        <v>1.1410993714056439</v>
      </c>
      <c r="Q15" s="158">
        <v>0.39087</v>
      </c>
      <c r="R15" s="231">
        <v>0.39090000000000003</v>
      </c>
      <c r="S15" s="32">
        <v>0.39400000000000002</v>
      </c>
      <c r="T15" s="14">
        <v>0.39400000000000002</v>
      </c>
      <c r="U15" s="32">
        <f>+S15/Q15</f>
        <v>1.0080077775219383</v>
      </c>
      <c r="V15" s="30">
        <f>+T15/R15</f>
        <v>1.0079304169864416</v>
      </c>
      <c r="W15" s="158">
        <v>0.40788999999999997</v>
      </c>
      <c r="X15" s="83">
        <v>0.40788999999999997</v>
      </c>
      <c r="Y15" s="311">
        <v>0.36399999999999999</v>
      </c>
      <c r="Z15" s="60">
        <f>+Y15</f>
        <v>0.36399999999999999</v>
      </c>
      <c r="AA15" s="699">
        <f>+Y15/W15</f>
        <v>0.89239746009953669</v>
      </c>
      <c r="AB15" s="30">
        <f>+Z15/X15</f>
        <v>0.89239746009953669</v>
      </c>
      <c r="AC15" s="123" t="s">
        <v>115</v>
      </c>
      <c r="AD15" s="252">
        <v>0.42</v>
      </c>
      <c r="AE15" s="26">
        <f t="shared" si="4"/>
        <v>0.42</v>
      </c>
      <c r="AF15" s="445">
        <f>+Y15</f>
        <v>0.36399999999999999</v>
      </c>
      <c r="AG15" s="445">
        <f>+AF15</f>
        <v>0.36399999999999999</v>
      </c>
      <c r="AH15" s="278">
        <f>+AF15/AD15</f>
        <v>0.8666666666666667</v>
      </c>
      <c r="AI15" s="30">
        <f>+AG15/AE15</f>
        <v>0.8666666666666667</v>
      </c>
      <c r="AJ15" s="168">
        <f t="shared" si="5"/>
        <v>0.8666666666666667</v>
      </c>
      <c r="AK15" s="70" t="s">
        <v>449</v>
      </c>
      <c r="AL15" s="270"/>
      <c r="AM15" s="167"/>
    </row>
    <row r="16" spans="1:39" ht="45" x14ac:dyDescent="0.25">
      <c r="A16" s="446"/>
      <c r="B16" s="579" t="s">
        <v>10</v>
      </c>
      <c r="C16" s="369" t="s">
        <v>110</v>
      </c>
      <c r="D16" s="46" t="s">
        <v>101</v>
      </c>
      <c r="E16" s="59" t="s">
        <v>126</v>
      </c>
      <c r="F16" s="46" t="s">
        <v>212</v>
      </c>
      <c r="G16" s="790" t="s">
        <v>10</v>
      </c>
      <c r="H16" s="46" t="s">
        <v>185</v>
      </c>
      <c r="I16" s="46" t="s">
        <v>177</v>
      </c>
      <c r="J16" s="788" t="s">
        <v>187</v>
      </c>
      <c r="K16" s="59" t="s">
        <v>186</v>
      </c>
      <c r="L16" s="32">
        <v>5.1700000000000003E-2</v>
      </c>
      <c r="M16" s="168">
        <v>5.8099999999999999E-2</v>
      </c>
      <c r="N16" s="580">
        <v>5.3499999999999999E-2</v>
      </c>
      <c r="O16" s="31">
        <v>5.7500000000000002E-2</v>
      </c>
      <c r="P16" s="123">
        <f>(M16-O16)/(M16-N16)</f>
        <v>0.13043478260869487</v>
      </c>
      <c r="Q16" s="158">
        <v>5.3600000000000002E-2</v>
      </c>
      <c r="R16" s="48">
        <v>5.3600000000000002E-2</v>
      </c>
      <c r="S16" s="32">
        <v>5.3499999999999999E-2</v>
      </c>
      <c r="T16" s="31">
        <v>5.3499999999999999E-2</v>
      </c>
      <c r="U16" s="30">
        <f>+(M16-S16)/(M16-Q16)</f>
        <v>1.0222222222222228</v>
      </c>
      <c r="V16" s="123">
        <f>+(M16-T16)/(M16-L16)</f>
        <v>0.71875000000000044</v>
      </c>
      <c r="W16" s="51">
        <v>5.2499999999999998E-2</v>
      </c>
      <c r="X16" s="34">
        <v>5.2499999999999998E-2</v>
      </c>
      <c r="Y16" s="311">
        <v>5.2400000000000002E-2</v>
      </c>
      <c r="Z16" s="40">
        <v>5.2400000000000002E-2</v>
      </c>
      <c r="AA16" s="30">
        <f>+(M16-Y16)/(M16-W16)</f>
        <v>1.0178571428571421</v>
      </c>
      <c r="AB16" s="30">
        <f>(M16-Z16)/(M16-X16)</f>
        <v>1.0178571428571421</v>
      </c>
      <c r="AC16" s="123" t="s">
        <v>115</v>
      </c>
      <c r="AD16" s="252">
        <v>5.1700000000000003E-2</v>
      </c>
      <c r="AE16" s="33">
        <f t="shared" si="4"/>
        <v>5.1700000000000003E-2</v>
      </c>
      <c r="AF16" s="370">
        <v>5.2400000000000002E-2</v>
      </c>
      <c r="AG16" s="370">
        <v>5.2400000000000002E-2</v>
      </c>
      <c r="AH16" s="463">
        <f>(M16-AF16)/(M16-AD16)</f>
        <v>0.890625</v>
      </c>
      <c r="AI16" s="30">
        <f>+(M16-AG16)/(M16-AE16)</f>
        <v>0.890625</v>
      </c>
      <c r="AJ16" s="168">
        <f t="shared" si="5"/>
        <v>0.890625</v>
      </c>
      <c r="AK16" s="70" t="s">
        <v>437</v>
      </c>
      <c r="AL16" s="270"/>
      <c r="AM16" s="168"/>
    </row>
    <row r="17" spans="1:39" ht="45" x14ac:dyDescent="0.25">
      <c r="A17" s="446"/>
      <c r="B17" s="579" t="s">
        <v>11</v>
      </c>
      <c r="C17" s="369" t="s">
        <v>110</v>
      </c>
      <c r="D17" s="46" t="s">
        <v>101</v>
      </c>
      <c r="E17" s="59" t="s">
        <v>126</v>
      </c>
      <c r="F17" s="46" t="s">
        <v>212</v>
      </c>
      <c r="G17" s="790" t="s">
        <v>11</v>
      </c>
      <c r="H17" s="46" t="s">
        <v>191</v>
      </c>
      <c r="I17" s="46" t="s">
        <v>177</v>
      </c>
      <c r="J17" s="788" t="s">
        <v>190</v>
      </c>
      <c r="K17" s="59" t="s">
        <v>192</v>
      </c>
      <c r="L17" s="29">
        <v>357218</v>
      </c>
      <c r="M17" s="200">
        <v>419082</v>
      </c>
      <c r="N17" s="49">
        <f>121397</f>
        <v>121397</v>
      </c>
      <c r="O17" s="19">
        <v>71577</v>
      </c>
      <c r="P17" s="123">
        <f>+O17/N17</f>
        <v>0.58961094590475882</v>
      </c>
      <c r="Q17" s="161">
        <v>170821</v>
      </c>
      <c r="R17" s="144">
        <f>+N17+Q17</f>
        <v>292218</v>
      </c>
      <c r="S17" s="19">
        <f>85159</f>
        <v>85159</v>
      </c>
      <c r="T17" s="27">
        <f>+O17+S17</f>
        <v>156736</v>
      </c>
      <c r="U17" s="437">
        <f>+S17/Q17</f>
        <v>0.49852769858506857</v>
      </c>
      <c r="V17" s="442">
        <f>+T17/$R17</f>
        <v>0.53636668514602115</v>
      </c>
      <c r="W17" s="56">
        <v>35000</v>
      </c>
      <c r="X17" s="36">
        <f>+R17+W17</f>
        <v>327218</v>
      </c>
      <c r="Y17" s="66">
        <v>52634</v>
      </c>
      <c r="Z17" s="66">
        <f>+T17+Y17</f>
        <v>209370</v>
      </c>
      <c r="AA17" s="30">
        <f>+Y17/W17</f>
        <v>1.5038285714285715</v>
      </c>
      <c r="AB17" s="30">
        <f>+Z17/$X17</f>
        <v>0.63984866358207682</v>
      </c>
      <c r="AC17" s="123" t="s">
        <v>115</v>
      </c>
      <c r="AD17" s="255">
        <v>30000</v>
      </c>
      <c r="AE17" s="35">
        <f>+X17+AD17</f>
        <v>357218</v>
      </c>
      <c r="AF17" s="447">
        <v>38238</v>
      </c>
      <c r="AG17" s="447">
        <f>+Z17</f>
        <v>209370</v>
      </c>
      <c r="AH17" s="30">
        <f>+AF17/AD17</f>
        <v>1.2746</v>
      </c>
      <c r="AI17" s="463">
        <f>+AG17/AE17</f>
        <v>0.58611268189172994</v>
      </c>
      <c r="AJ17" s="168">
        <f>+AI17</f>
        <v>0.58611268189172994</v>
      </c>
      <c r="AK17" s="70" t="s">
        <v>443</v>
      </c>
      <c r="AL17" s="270"/>
      <c r="AM17" s="165"/>
    </row>
    <row r="18" spans="1:39" ht="45" x14ac:dyDescent="0.25">
      <c r="A18" s="446"/>
      <c r="B18" s="579" t="s">
        <v>12</v>
      </c>
      <c r="C18" s="369" t="s">
        <v>110</v>
      </c>
      <c r="D18" s="46" t="s">
        <v>101</v>
      </c>
      <c r="E18" s="59" t="s">
        <v>123</v>
      </c>
      <c r="F18" s="46" t="s">
        <v>211</v>
      </c>
      <c r="G18" s="4" t="s">
        <v>12</v>
      </c>
      <c r="H18" s="46" t="s">
        <v>175</v>
      </c>
      <c r="I18" s="46" t="s">
        <v>177</v>
      </c>
      <c r="J18" s="788" t="s">
        <v>184</v>
      </c>
      <c r="K18" s="59" t="s">
        <v>186</v>
      </c>
      <c r="L18" s="32">
        <v>0.75670000000000004</v>
      </c>
      <c r="M18" s="168">
        <v>0.7147</v>
      </c>
      <c r="N18" s="51">
        <v>0.71479999999999999</v>
      </c>
      <c r="O18" s="32">
        <v>0.72970000000000002</v>
      </c>
      <c r="P18" s="123">
        <f>+(O18-M18)/(N18-M18)</f>
        <v>150.00000000001666</v>
      </c>
      <c r="Q18" s="158">
        <v>0.72319999999999995</v>
      </c>
      <c r="R18" s="48">
        <v>0.72319999999999995</v>
      </c>
      <c r="S18" s="32">
        <v>0.75239999999999996</v>
      </c>
      <c r="T18" s="32">
        <v>0.75239999999999996</v>
      </c>
      <c r="U18" s="30">
        <f>+(S18-M18)/(Q18-M18)</f>
        <v>4.4352941176470786</v>
      </c>
      <c r="V18" s="30">
        <f>+(T18-M18)/(L18-M18)</f>
        <v>0.89761904761904576</v>
      </c>
      <c r="W18" s="158">
        <v>0.74329999999999996</v>
      </c>
      <c r="X18" s="34">
        <v>0.74329999999999996</v>
      </c>
      <c r="Y18" s="40">
        <v>0.76570000000000005</v>
      </c>
      <c r="Z18" s="60">
        <v>0.76570000000000005</v>
      </c>
      <c r="AA18" s="281">
        <f>+(Y18-M18)/(W18-M18)</f>
        <v>1.7832167832167873</v>
      </c>
      <c r="AB18" s="30">
        <f>+(Z18-M18)/(L18-M18)</f>
        <v>1.2142857142857142</v>
      </c>
      <c r="AC18" s="123" t="s">
        <v>115</v>
      </c>
      <c r="AD18" s="492">
        <f>+L18</f>
        <v>0.75670000000000004</v>
      </c>
      <c r="AE18" s="33">
        <f>+AD18</f>
        <v>0.75670000000000004</v>
      </c>
      <c r="AF18" s="370">
        <v>0.76570000000000005</v>
      </c>
      <c r="AG18" s="370">
        <v>0.76570000000000005</v>
      </c>
      <c r="AH18" s="463">
        <f>+(AF18-M18)/(AD18-M18)</f>
        <v>1.2142857142857142</v>
      </c>
      <c r="AI18" s="30">
        <f>+(AG18-M18)/(L18-M18)</f>
        <v>1.2142857142857142</v>
      </c>
      <c r="AJ18" s="168">
        <f>+AI18</f>
        <v>1.2142857142857142</v>
      </c>
      <c r="AK18" s="70" t="s">
        <v>375</v>
      </c>
      <c r="AL18" s="270"/>
      <c r="AM18" s="168"/>
    </row>
    <row r="19" spans="1:39" ht="105" x14ac:dyDescent="0.25">
      <c r="A19" s="446" t="s">
        <v>377</v>
      </c>
      <c r="B19" s="579" t="s">
        <v>13</v>
      </c>
      <c r="C19" s="367" t="s">
        <v>110</v>
      </c>
      <c r="D19" s="46" t="s">
        <v>101</v>
      </c>
      <c r="E19" s="59" t="s">
        <v>123</v>
      </c>
      <c r="F19" s="46" t="s">
        <v>211</v>
      </c>
      <c r="G19" s="4" t="s">
        <v>13</v>
      </c>
      <c r="H19" s="46" t="s">
        <v>185</v>
      </c>
      <c r="I19" s="46" t="s">
        <v>177</v>
      </c>
      <c r="J19" s="788" t="s">
        <v>184</v>
      </c>
      <c r="K19" s="59" t="s">
        <v>186</v>
      </c>
      <c r="L19" s="184">
        <v>0.84330000000000005</v>
      </c>
      <c r="M19" s="201">
        <v>0.73</v>
      </c>
      <c r="N19" s="210">
        <v>0.77539999999999998</v>
      </c>
      <c r="O19" s="32">
        <v>0.73770000000000002</v>
      </c>
      <c r="P19" s="123">
        <f>+(O19-M19)/(N19-M19)</f>
        <v>0.16960352422907579</v>
      </c>
      <c r="Q19" s="221">
        <v>0.79800000000000004</v>
      </c>
      <c r="R19" s="48">
        <v>0.70499999999999996</v>
      </c>
      <c r="S19" s="32">
        <v>0.75439999999999996</v>
      </c>
      <c r="T19" s="32">
        <v>0.75439999999999996</v>
      </c>
      <c r="U19" s="30">
        <f>+(S19-M19)/(Q19-M19)</f>
        <v>0.35882352941176404</v>
      </c>
      <c r="V19" s="30">
        <f>+(T19-M19)/(L19-M19)</f>
        <v>0.21535745807590434</v>
      </c>
      <c r="W19" s="221">
        <v>0.82069999999999999</v>
      </c>
      <c r="X19" s="34">
        <v>0.70930000000000004</v>
      </c>
      <c r="Y19" s="40">
        <v>0.75449999999999995</v>
      </c>
      <c r="Z19" s="60">
        <v>0.75449999999999995</v>
      </c>
      <c r="AA19" s="281">
        <f>+(Y19-M19)/(W19-M19)</f>
        <v>0.27012127894156523</v>
      </c>
      <c r="AB19" s="30">
        <f>+(Z19-M19)/(L19-M19)</f>
        <v>0.21624007060900222</v>
      </c>
      <c r="AC19" s="123" t="s">
        <v>115</v>
      </c>
      <c r="AD19" s="256">
        <v>0.84330000000000005</v>
      </c>
      <c r="AE19" s="33">
        <f t="shared" si="4"/>
        <v>0.84330000000000005</v>
      </c>
      <c r="AF19" s="370">
        <f>+Y19</f>
        <v>0.75449999999999995</v>
      </c>
      <c r="AG19" s="370">
        <f>+AF19</f>
        <v>0.75449999999999995</v>
      </c>
      <c r="AH19" s="463">
        <f>+(AF19-M19)/(AD19-M19)</f>
        <v>0.21624007060900222</v>
      </c>
      <c r="AI19" s="30">
        <f>+(AG19-M19)/(L19-M19)</f>
        <v>0.21624007060900222</v>
      </c>
      <c r="AJ19" s="168">
        <f>+AI19</f>
        <v>0.21624007060900222</v>
      </c>
      <c r="AK19" s="70" t="s">
        <v>375</v>
      </c>
      <c r="AL19" s="270"/>
      <c r="AM19" s="168"/>
    </row>
    <row r="20" spans="1:39" ht="60" x14ac:dyDescent="0.25">
      <c r="B20" s="576" t="s">
        <v>14</v>
      </c>
      <c r="C20" s="196" t="s">
        <v>110</v>
      </c>
      <c r="D20" s="46" t="s">
        <v>101</v>
      </c>
      <c r="E20" s="59" t="s">
        <v>123</v>
      </c>
      <c r="F20" s="46" t="s">
        <v>211</v>
      </c>
      <c r="G20" s="4" t="s">
        <v>14</v>
      </c>
      <c r="H20" s="46" t="s">
        <v>175</v>
      </c>
      <c r="I20" s="46" t="s">
        <v>177</v>
      </c>
      <c r="J20" s="788" t="s">
        <v>190</v>
      </c>
      <c r="K20" s="59" t="s">
        <v>193</v>
      </c>
      <c r="L20" s="190">
        <v>135964</v>
      </c>
      <c r="M20" s="200">
        <v>109658</v>
      </c>
      <c r="N20" s="211">
        <v>120180</v>
      </c>
      <c r="O20" s="19">
        <v>102105</v>
      </c>
      <c r="P20" s="249">
        <f t="shared" ref="P20:P25" si="6">+O20/N20</f>
        <v>0.849600599101348</v>
      </c>
      <c r="Q20" s="222">
        <v>125441</v>
      </c>
      <c r="R20" s="144">
        <v>125441</v>
      </c>
      <c r="S20" s="19">
        <v>107437</v>
      </c>
      <c r="T20" s="19">
        <v>107437</v>
      </c>
      <c r="U20" s="30">
        <f>+(S20-0)/(Q20-0)</f>
        <v>0.8564743584633413</v>
      </c>
      <c r="V20" s="30">
        <f>+(T20-0)/(L20-0)</f>
        <v>0.79018710835221084</v>
      </c>
      <c r="W20" s="222">
        <v>130703</v>
      </c>
      <c r="X20" s="36">
        <v>130703</v>
      </c>
      <c r="Y20" s="66">
        <v>112959</v>
      </c>
      <c r="Z20" s="66">
        <v>112959</v>
      </c>
      <c r="AA20" s="30">
        <f t="shared" ref="AA20:AA25" si="7">+Y20/W20</f>
        <v>0.86424183071543881</v>
      </c>
      <c r="AB20" s="30">
        <f t="shared" ref="AB20" si="8">+Z20/$X20</f>
        <v>0.86424183071543881</v>
      </c>
      <c r="AC20" s="123" t="s">
        <v>115</v>
      </c>
      <c r="AD20" s="257">
        <v>135964</v>
      </c>
      <c r="AE20" s="35">
        <f t="shared" si="4"/>
        <v>135964</v>
      </c>
      <c r="AF20" s="165">
        <v>0</v>
      </c>
      <c r="AG20" s="447">
        <f>+Z20</f>
        <v>112959</v>
      </c>
      <c r="AH20" s="281">
        <f t="shared" ref="AH20:AI24" si="9">+AF20/AD20</f>
        <v>0</v>
      </c>
      <c r="AI20" s="463">
        <f t="shared" si="9"/>
        <v>0.83080080021182079</v>
      </c>
      <c r="AJ20" s="168">
        <f>+AI20</f>
        <v>0.83080080021182079</v>
      </c>
      <c r="AK20" s="70" t="s">
        <v>375</v>
      </c>
      <c r="AL20" s="270"/>
      <c r="AM20" s="165"/>
    </row>
    <row r="21" spans="1:39" ht="45" x14ac:dyDescent="0.25">
      <c r="A21" s="446"/>
      <c r="B21" s="579" t="s">
        <v>15</v>
      </c>
      <c r="C21" s="369" t="s">
        <v>110</v>
      </c>
      <c r="D21" s="46" t="s">
        <v>101</v>
      </c>
      <c r="E21" s="59" t="s">
        <v>123</v>
      </c>
      <c r="F21" s="46" t="s">
        <v>211</v>
      </c>
      <c r="G21" s="4" t="s">
        <v>15</v>
      </c>
      <c r="H21" s="46" t="s">
        <v>175</v>
      </c>
      <c r="I21" s="46" t="s">
        <v>177</v>
      </c>
      <c r="J21" s="788" t="s">
        <v>190</v>
      </c>
      <c r="K21" s="59" t="s">
        <v>194</v>
      </c>
      <c r="L21" s="29">
        <v>311</v>
      </c>
      <c r="M21" s="200">
        <v>251</v>
      </c>
      <c r="N21" s="49">
        <v>275</v>
      </c>
      <c r="O21" s="18">
        <v>247</v>
      </c>
      <c r="P21" s="249">
        <f t="shared" si="6"/>
        <v>0.89818181818181819</v>
      </c>
      <c r="Q21" s="161">
        <v>287</v>
      </c>
      <c r="R21" s="232">
        <v>287</v>
      </c>
      <c r="S21" s="19">
        <v>250</v>
      </c>
      <c r="T21" s="18">
        <v>250</v>
      </c>
      <c r="U21" s="30">
        <f>+S21/Q21</f>
        <v>0.87108013937282225</v>
      </c>
      <c r="V21" s="30">
        <f>+T21/L21</f>
        <v>0.8038585209003215</v>
      </c>
      <c r="W21" s="161">
        <v>299</v>
      </c>
      <c r="X21" s="36">
        <v>299</v>
      </c>
      <c r="Y21" s="54">
        <v>242</v>
      </c>
      <c r="Z21" s="66">
        <v>242</v>
      </c>
      <c r="AA21" s="281">
        <f t="shared" si="7"/>
        <v>0.80936454849498329</v>
      </c>
      <c r="AB21" s="30">
        <f>+Z21/X21</f>
        <v>0.80936454849498329</v>
      </c>
      <c r="AC21" s="123" t="s">
        <v>115</v>
      </c>
      <c r="AD21" s="255">
        <v>311</v>
      </c>
      <c r="AE21" s="35">
        <f t="shared" si="4"/>
        <v>311</v>
      </c>
      <c r="AF21" s="447">
        <f>+Y21</f>
        <v>242</v>
      </c>
      <c r="AG21" s="447">
        <f>+AF21</f>
        <v>242</v>
      </c>
      <c r="AH21" s="462">
        <f t="shared" si="9"/>
        <v>0.77813504823151125</v>
      </c>
      <c r="AI21" s="30">
        <f t="shared" si="9"/>
        <v>0.77813504823151125</v>
      </c>
      <c r="AJ21" s="168">
        <f t="shared" ref="AJ21:AJ25" si="10">+AI21</f>
        <v>0.77813504823151125</v>
      </c>
      <c r="AK21" s="70" t="s">
        <v>375</v>
      </c>
      <c r="AL21" s="270"/>
      <c r="AM21" s="165"/>
    </row>
    <row r="22" spans="1:39" ht="45" x14ac:dyDescent="0.25">
      <c r="A22" s="474"/>
      <c r="B22" s="576" t="s">
        <v>16</v>
      </c>
      <c r="C22" s="369" t="s">
        <v>110</v>
      </c>
      <c r="D22" s="46" t="s">
        <v>101</v>
      </c>
      <c r="E22" s="59" t="s">
        <v>123</v>
      </c>
      <c r="F22" s="46" t="s">
        <v>211</v>
      </c>
      <c r="G22" s="78" t="s">
        <v>16</v>
      </c>
      <c r="H22" s="46" t="s">
        <v>185</v>
      </c>
      <c r="I22" s="46" t="s">
        <v>177</v>
      </c>
      <c r="J22" s="788" t="s">
        <v>190</v>
      </c>
      <c r="K22" s="59" t="s">
        <v>186</v>
      </c>
      <c r="L22" s="32">
        <v>0.78320000000000001</v>
      </c>
      <c r="M22" s="168">
        <v>0.73309999999999997</v>
      </c>
      <c r="N22" s="47">
        <v>0.75700000000000001</v>
      </c>
      <c r="O22" s="32">
        <v>0.73450000000000004</v>
      </c>
      <c r="P22" s="123">
        <f t="shared" si="6"/>
        <v>0.97027741083223251</v>
      </c>
      <c r="Q22" s="158">
        <v>0.75719999999999998</v>
      </c>
      <c r="R22" s="48">
        <v>0.75719999999999998</v>
      </c>
      <c r="S22" s="32">
        <v>0.73399999999999999</v>
      </c>
      <c r="T22" s="32">
        <v>0.73399999999999999</v>
      </c>
      <c r="U22" s="437">
        <f>+S22/Q22</f>
        <v>0.96936080295826732</v>
      </c>
      <c r="V22" s="442">
        <f>+T22/$R22</f>
        <v>0.96936080295826732</v>
      </c>
      <c r="W22" s="51">
        <v>0.7681</v>
      </c>
      <c r="X22" s="34">
        <v>0.7681</v>
      </c>
      <c r="Y22" s="40">
        <v>0.73160000000000003</v>
      </c>
      <c r="Z22" s="60">
        <v>0.73160000000000003</v>
      </c>
      <c r="AA22" s="30">
        <f>+Y22/W22</f>
        <v>0.95248014581434715</v>
      </c>
      <c r="AB22" s="30">
        <f>+Z22/$X22</f>
        <v>0.95248014581434715</v>
      </c>
      <c r="AC22" s="123" t="s">
        <v>115</v>
      </c>
      <c r="AD22" s="252">
        <v>0.78320000000000001</v>
      </c>
      <c r="AE22" s="33">
        <f t="shared" si="4"/>
        <v>0.78320000000000001</v>
      </c>
      <c r="AF22" s="370">
        <f>+Z22</f>
        <v>0.73160000000000003</v>
      </c>
      <c r="AG22" s="370">
        <f>+AF22</f>
        <v>0.73160000000000003</v>
      </c>
      <c r="AH22" s="462">
        <f>+AF22/AD22</f>
        <v>0.93411644535240046</v>
      </c>
      <c r="AI22" s="30">
        <f t="shared" si="9"/>
        <v>0.93411644535240046</v>
      </c>
      <c r="AJ22" s="168">
        <f t="shared" si="10"/>
        <v>0.93411644535240046</v>
      </c>
      <c r="AK22" s="70" t="s">
        <v>375</v>
      </c>
      <c r="AL22" s="270"/>
      <c r="AM22" s="168"/>
    </row>
    <row r="23" spans="1:39" ht="60" x14ac:dyDescent="0.25">
      <c r="A23" s="582"/>
      <c r="B23" s="752" t="s">
        <v>17</v>
      </c>
      <c r="C23" s="753" t="s">
        <v>110</v>
      </c>
      <c r="D23" s="46" t="s">
        <v>101</v>
      </c>
      <c r="E23" s="59" t="s">
        <v>123</v>
      </c>
      <c r="F23" s="46" t="s">
        <v>211</v>
      </c>
      <c r="G23" s="4" t="s">
        <v>17</v>
      </c>
      <c r="H23" s="46" t="s">
        <v>175</v>
      </c>
      <c r="I23" s="46" t="s">
        <v>177</v>
      </c>
      <c r="J23" s="788" t="s">
        <v>190</v>
      </c>
      <c r="K23" s="59" t="s">
        <v>193</v>
      </c>
      <c r="L23" s="29">
        <v>366740</v>
      </c>
      <c r="M23" s="200">
        <v>362740</v>
      </c>
      <c r="N23" s="49">
        <v>363740</v>
      </c>
      <c r="O23" s="19">
        <v>336068</v>
      </c>
      <c r="P23" s="123">
        <f t="shared" si="6"/>
        <v>0.92392368175070105</v>
      </c>
      <c r="Q23" s="161">
        <v>364740</v>
      </c>
      <c r="R23" s="144">
        <v>364740</v>
      </c>
      <c r="S23" s="19">
        <v>335655</v>
      </c>
      <c r="T23" s="19">
        <v>335655</v>
      </c>
      <c r="U23" s="30">
        <f>+S23/Q23</f>
        <v>0.92025826616219775</v>
      </c>
      <c r="V23" s="30">
        <f>+T23/R23</f>
        <v>0.92025826616219775</v>
      </c>
      <c r="W23" s="161">
        <v>365740</v>
      </c>
      <c r="X23" s="36">
        <v>365740</v>
      </c>
      <c r="Y23" s="66">
        <v>327111</v>
      </c>
      <c r="Z23" s="66">
        <v>327111</v>
      </c>
      <c r="AA23" s="30">
        <f t="shared" si="7"/>
        <v>0.89438125444304695</v>
      </c>
      <c r="AB23" s="30">
        <f>+Z23/X23</f>
        <v>0.89438125444304695</v>
      </c>
      <c r="AC23" s="123" t="s">
        <v>115</v>
      </c>
      <c r="AD23" s="255">
        <v>366740</v>
      </c>
      <c r="AE23" s="35">
        <f t="shared" si="4"/>
        <v>366740</v>
      </c>
      <c r="AF23" s="447">
        <v>327111</v>
      </c>
      <c r="AG23" s="447">
        <v>327111</v>
      </c>
      <c r="AH23" s="462">
        <f t="shared" si="9"/>
        <v>0.89194252058679169</v>
      </c>
      <c r="AI23" s="30">
        <f t="shared" si="9"/>
        <v>0.89194252058679169</v>
      </c>
      <c r="AJ23" s="168">
        <f t="shared" si="10"/>
        <v>0.89194252058679169</v>
      </c>
      <c r="AK23" s="70" t="s">
        <v>456</v>
      </c>
      <c r="AL23" s="270"/>
      <c r="AM23" s="165"/>
    </row>
    <row r="24" spans="1:39" ht="45" x14ac:dyDescent="0.25">
      <c r="A24" s="446"/>
      <c r="B24" s="579" t="s">
        <v>18</v>
      </c>
      <c r="C24" s="369" t="s">
        <v>110</v>
      </c>
      <c r="D24" s="46" t="s">
        <v>101</v>
      </c>
      <c r="E24" s="59" t="s">
        <v>123</v>
      </c>
      <c r="F24" s="46" t="s">
        <v>211</v>
      </c>
      <c r="G24" s="4" t="s">
        <v>18</v>
      </c>
      <c r="H24" s="46" t="s">
        <v>175</v>
      </c>
      <c r="I24" s="46" t="s">
        <v>177</v>
      </c>
      <c r="J24" s="788" t="s">
        <v>190</v>
      </c>
      <c r="K24" s="59" t="s">
        <v>194</v>
      </c>
      <c r="L24" s="29">
        <v>5915</v>
      </c>
      <c r="M24" s="200">
        <v>5515</v>
      </c>
      <c r="N24" s="49">
        <v>5615</v>
      </c>
      <c r="O24" s="16">
        <v>5661</v>
      </c>
      <c r="P24" s="249">
        <f t="shared" si="6"/>
        <v>1.0081923419412289</v>
      </c>
      <c r="Q24" s="161">
        <v>5715</v>
      </c>
      <c r="R24" s="144">
        <v>5715</v>
      </c>
      <c r="S24" s="19">
        <v>5702</v>
      </c>
      <c r="T24" s="19">
        <v>5702</v>
      </c>
      <c r="U24" s="30">
        <f>+S24/Q24</f>
        <v>0.99772528433945762</v>
      </c>
      <c r="V24" s="30">
        <f>+T24/L24</f>
        <v>0.96398985629754863</v>
      </c>
      <c r="W24" s="161">
        <v>5815</v>
      </c>
      <c r="X24" s="36">
        <v>5815</v>
      </c>
      <c r="Y24" s="66">
        <v>5654</v>
      </c>
      <c r="Z24" s="66">
        <v>5654</v>
      </c>
      <c r="AA24" s="281">
        <f t="shared" si="7"/>
        <v>0.97231298366294072</v>
      </c>
      <c r="AB24" s="30">
        <f>+Z24/X24</f>
        <v>0.97231298366294072</v>
      </c>
      <c r="AC24" s="123" t="s">
        <v>115</v>
      </c>
      <c r="AD24" s="255">
        <v>5915</v>
      </c>
      <c r="AE24" s="35">
        <f t="shared" si="4"/>
        <v>5915</v>
      </c>
      <c r="AF24" s="447">
        <f>+Y24</f>
        <v>5654</v>
      </c>
      <c r="AG24" s="447">
        <f>+AF24</f>
        <v>5654</v>
      </c>
      <c r="AH24" s="462">
        <f t="shared" si="9"/>
        <v>0.9558748943364328</v>
      </c>
      <c r="AI24" s="30">
        <f t="shared" si="9"/>
        <v>0.9558748943364328</v>
      </c>
      <c r="AJ24" s="168">
        <f t="shared" si="10"/>
        <v>0.9558748943364328</v>
      </c>
      <c r="AK24" s="70" t="s">
        <v>375</v>
      </c>
      <c r="AL24" s="270"/>
      <c r="AM24" s="165"/>
    </row>
    <row r="25" spans="1:39" ht="210" x14ac:dyDescent="0.25">
      <c r="A25" s="446" t="s">
        <v>426</v>
      </c>
      <c r="B25" s="578" t="s">
        <v>19</v>
      </c>
      <c r="C25" s="367" t="s">
        <v>110</v>
      </c>
      <c r="D25" s="46" t="s">
        <v>101</v>
      </c>
      <c r="E25" s="59" t="s">
        <v>123</v>
      </c>
      <c r="F25" s="46" t="s">
        <v>211</v>
      </c>
      <c r="G25" s="4" t="s">
        <v>19</v>
      </c>
      <c r="H25" s="46" t="s">
        <v>185</v>
      </c>
      <c r="I25" s="46" t="s">
        <v>177</v>
      </c>
      <c r="J25" s="788" t="s">
        <v>190</v>
      </c>
      <c r="K25" s="59" t="s">
        <v>186</v>
      </c>
      <c r="L25" s="13">
        <v>0.91039999999999999</v>
      </c>
      <c r="M25" s="168">
        <v>0.83819999999999995</v>
      </c>
      <c r="N25" s="47">
        <v>0.86709999999999998</v>
      </c>
      <c r="O25" s="13">
        <v>0.83379999999999999</v>
      </c>
      <c r="P25" s="249">
        <f t="shared" si="6"/>
        <v>0.96159612501441583</v>
      </c>
      <c r="Q25" s="158">
        <v>0.88149999999999995</v>
      </c>
      <c r="R25" s="48">
        <v>0.88149999999999995</v>
      </c>
      <c r="S25" s="32">
        <v>0.84209999999999996</v>
      </c>
      <c r="T25" s="13">
        <v>0.84209999999999996</v>
      </c>
      <c r="U25" s="32">
        <f>+S25/Q25</f>
        <v>0.95530346001134436</v>
      </c>
      <c r="V25" s="30">
        <f>+T25/R25</f>
        <v>0.95530346001134436</v>
      </c>
      <c r="W25" s="158">
        <v>0.86599999999999999</v>
      </c>
      <c r="X25" s="34">
        <v>0.86599999999999999</v>
      </c>
      <c r="Y25" s="40">
        <v>0.82850000000000001</v>
      </c>
      <c r="Z25" s="60">
        <v>0.82850000000000001</v>
      </c>
      <c r="AA25" s="699">
        <f t="shared" si="7"/>
        <v>0.95669745958429564</v>
      </c>
      <c r="AB25" s="281">
        <f>+Z25/X25</f>
        <v>0.95669745958429564</v>
      </c>
      <c r="AC25" s="123" t="s">
        <v>115</v>
      </c>
      <c r="AD25" s="252">
        <v>0.91039999999999999</v>
      </c>
      <c r="AE25" s="26">
        <f t="shared" si="4"/>
        <v>0.91039999999999999</v>
      </c>
      <c r="AF25" s="445">
        <f>+Y25</f>
        <v>0.82850000000000001</v>
      </c>
      <c r="AG25" s="445">
        <f>+AF25</f>
        <v>0.82850000000000001</v>
      </c>
      <c r="AH25" s="278">
        <f>+AF25/AD25</f>
        <v>0.9100395430579965</v>
      </c>
      <c r="AI25" s="699">
        <f>+AG25/AE25</f>
        <v>0.9100395430579965</v>
      </c>
      <c r="AJ25" s="168">
        <f t="shared" si="10"/>
        <v>0.9100395430579965</v>
      </c>
      <c r="AK25" s="70" t="s">
        <v>375</v>
      </c>
      <c r="AL25" s="270"/>
      <c r="AM25" s="167"/>
    </row>
    <row r="26" spans="1:39" ht="90" x14ac:dyDescent="0.25">
      <c r="B26" s="576" t="s">
        <v>20</v>
      </c>
      <c r="C26" s="196" t="s">
        <v>110</v>
      </c>
      <c r="D26" s="46" t="s">
        <v>101</v>
      </c>
      <c r="E26" s="59" t="s">
        <v>124</v>
      </c>
      <c r="F26" s="46" t="s">
        <v>211</v>
      </c>
      <c r="G26" s="4" t="s">
        <v>20</v>
      </c>
      <c r="H26" s="46" t="s">
        <v>175</v>
      </c>
      <c r="I26" s="46" t="s">
        <v>177</v>
      </c>
      <c r="J26" s="788" t="s">
        <v>184</v>
      </c>
      <c r="K26" s="59" t="s">
        <v>194</v>
      </c>
      <c r="L26" s="29">
        <v>100</v>
      </c>
      <c r="M26" s="200">
        <v>0</v>
      </c>
      <c r="N26" s="49">
        <v>40</v>
      </c>
      <c r="O26" s="17">
        <v>97</v>
      </c>
      <c r="P26" s="123">
        <f t="shared" ref="P26" si="11">+(O26-M26)/(N26-M26)</f>
        <v>2.4249999999999998</v>
      </c>
      <c r="Q26" s="161">
        <v>20</v>
      </c>
      <c r="R26" s="232">
        <v>60</v>
      </c>
      <c r="S26" s="19">
        <f>+T26-O26</f>
        <v>26</v>
      </c>
      <c r="T26" s="18">
        <v>123</v>
      </c>
      <c r="U26" s="30">
        <f t="shared" ref="U26:U29" si="12">+(S26-M26)/(Q26-M26)</f>
        <v>1.3</v>
      </c>
      <c r="V26" s="30">
        <f>+(T26-M26)/(L26-M26)</f>
        <v>1.23</v>
      </c>
      <c r="W26" s="161">
        <v>20</v>
      </c>
      <c r="X26" s="36">
        <v>80</v>
      </c>
      <c r="Y26" s="375">
        <f>+Z26-T26</f>
        <v>21</v>
      </c>
      <c r="Z26" s="66">
        <v>144</v>
      </c>
      <c r="AA26" s="281">
        <f t="shared" ref="AA26:AA29" si="13">+(Y26-M26)/(W26-M26)</f>
        <v>1.05</v>
      </c>
      <c r="AB26" s="281">
        <f>+(Z26-M26)/(L26-M26)</f>
        <v>1.44</v>
      </c>
      <c r="AC26" s="123" t="s">
        <v>115</v>
      </c>
      <c r="AD26" s="258">
        <v>100</v>
      </c>
      <c r="AE26" s="35">
        <f t="shared" si="4"/>
        <v>100</v>
      </c>
      <c r="AF26" s="447">
        <v>0</v>
      </c>
      <c r="AG26" s="447">
        <f>+Z26+AF26</f>
        <v>144</v>
      </c>
      <c r="AH26" s="281">
        <f>+(AF26-M26)/(AD26-M26)</f>
        <v>0</v>
      </c>
      <c r="AI26" s="462">
        <f>+(AG26-M26)/(AE26-M26)</f>
        <v>1.44</v>
      </c>
      <c r="AJ26" s="168">
        <f>+AI26</f>
        <v>1.44</v>
      </c>
      <c r="AK26" s="70" t="s">
        <v>375</v>
      </c>
      <c r="AL26" s="270"/>
      <c r="AM26" s="165"/>
    </row>
    <row r="27" spans="1:39" ht="60" x14ac:dyDescent="0.25">
      <c r="B27" s="576" t="s">
        <v>21</v>
      </c>
      <c r="C27" s="196" t="s">
        <v>110</v>
      </c>
      <c r="D27" s="46" t="s">
        <v>101</v>
      </c>
      <c r="E27" s="59" t="s">
        <v>123</v>
      </c>
      <c r="F27" s="46" t="s">
        <v>211</v>
      </c>
      <c r="G27" s="4" t="s">
        <v>21</v>
      </c>
      <c r="H27" s="46" t="s">
        <v>185</v>
      </c>
      <c r="I27" s="46" t="s">
        <v>177</v>
      </c>
      <c r="J27" s="788" t="s">
        <v>184</v>
      </c>
      <c r="K27" s="59" t="s">
        <v>186</v>
      </c>
      <c r="L27" s="13">
        <v>0.189</v>
      </c>
      <c r="M27" s="168">
        <v>0.16930000000000001</v>
      </c>
      <c r="N27" s="47">
        <v>0.17399999999999999</v>
      </c>
      <c r="O27" s="13">
        <v>0.1981</v>
      </c>
      <c r="P27" s="123">
        <f>+(O27-M27)/(N27-M27)</f>
        <v>6.1276595744681073</v>
      </c>
      <c r="Q27" s="158">
        <v>0.17899999999999999</v>
      </c>
      <c r="R27" s="48">
        <v>0.17899999999999999</v>
      </c>
      <c r="S27" s="32">
        <v>0.30599999999999999</v>
      </c>
      <c r="T27" s="13">
        <v>0.30599999999999999</v>
      </c>
      <c r="U27" s="30">
        <f>+(S27-M27)/(Q27-M27)</f>
        <v>14.092783505154658</v>
      </c>
      <c r="V27" s="30">
        <f t="shared" ref="V27" si="14">+(T27-M27)/(L27-M27)</f>
        <v>6.9390862944162448</v>
      </c>
      <c r="W27" s="158">
        <v>0.184</v>
      </c>
      <c r="X27" s="34">
        <v>0.184</v>
      </c>
      <c r="Y27" s="330">
        <f>+S27</f>
        <v>0.30599999999999999</v>
      </c>
      <c r="Z27" s="464">
        <f>+T27</f>
        <v>0.30599999999999999</v>
      </c>
      <c r="AA27" s="281">
        <f t="shared" si="13"/>
        <v>9.2993197278911612</v>
      </c>
      <c r="AB27" s="281">
        <f>+(Z27-M27)/(L27-M27)</f>
        <v>6.9390862944162448</v>
      </c>
      <c r="AC27" s="123" t="s">
        <v>371</v>
      </c>
      <c r="AD27" s="252">
        <v>0.189</v>
      </c>
      <c r="AE27" s="26">
        <f t="shared" si="4"/>
        <v>0.189</v>
      </c>
      <c r="AF27" s="445">
        <f>+Y27</f>
        <v>0.30599999999999999</v>
      </c>
      <c r="AG27" s="445">
        <f>+AF27</f>
        <v>0.30599999999999999</v>
      </c>
      <c r="AH27" s="462">
        <f>+(AF27-M27)/(AD27-M27)</f>
        <v>6.9390862944162448</v>
      </c>
      <c r="AI27" s="281">
        <f>+(AG27-M27)/(AE27-M27)</f>
        <v>6.9390862944162448</v>
      </c>
      <c r="AJ27" s="168">
        <f>+AI27</f>
        <v>6.9390862944162448</v>
      </c>
      <c r="AK27" s="70" t="s">
        <v>376</v>
      </c>
      <c r="AL27" s="270"/>
      <c r="AM27" s="167"/>
    </row>
    <row r="28" spans="1:39" ht="45" x14ac:dyDescent="0.25">
      <c r="A28" s="446"/>
      <c r="B28" s="579" t="s">
        <v>22</v>
      </c>
      <c r="C28" s="369" t="s">
        <v>110</v>
      </c>
      <c r="D28" s="46" t="s">
        <v>101</v>
      </c>
      <c r="E28" s="59" t="s">
        <v>123</v>
      </c>
      <c r="F28" s="46" t="s">
        <v>211</v>
      </c>
      <c r="G28" s="4" t="s">
        <v>22</v>
      </c>
      <c r="H28" s="46" t="s">
        <v>175</v>
      </c>
      <c r="I28" s="46" t="s">
        <v>177</v>
      </c>
      <c r="J28" s="788" t="s">
        <v>190</v>
      </c>
      <c r="K28" s="59" t="s">
        <v>194</v>
      </c>
      <c r="L28" s="29">
        <v>812</v>
      </c>
      <c r="M28" s="200">
        <v>784</v>
      </c>
      <c r="N28" s="49">
        <v>796</v>
      </c>
      <c r="O28" s="11">
        <v>782</v>
      </c>
      <c r="P28" s="249">
        <f>+O28/N28</f>
        <v>0.98241206030150752</v>
      </c>
      <c r="Q28" s="161">
        <v>801</v>
      </c>
      <c r="R28" s="232">
        <v>801</v>
      </c>
      <c r="S28" s="19">
        <v>801</v>
      </c>
      <c r="T28" s="11">
        <v>801</v>
      </c>
      <c r="U28" s="30">
        <f>+S28/Q28</f>
        <v>1</v>
      </c>
      <c r="V28" s="30">
        <f>+T28/L28</f>
        <v>0.98645320197044339</v>
      </c>
      <c r="W28" s="161">
        <v>807</v>
      </c>
      <c r="X28" s="36">
        <v>807</v>
      </c>
      <c r="Y28" s="54">
        <v>800</v>
      </c>
      <c r="Z28" s="66">
        <v>800</v>
      </c>
      <c r="AA28" s="281">
        <f>+Y28/W28</f>
        <v>0.99132589838909546</v>
      </c>
      <c r="AB28" s="30">
        <f>+Z28/X28</f>
        <v>0.99132589838909546</v>
      </c>
      <c r="AC28" s="123" t="s">
        <v>115</v>
      </c>
      <c r="AD28" s="255">
        <v>812</v>
      </c>
      <c r="AE28" s="35">
        <f t="shared" si="4"/>
        <v>812</v>
      </c>
      <c r="AF28" s="447">
        <f>+Y28</f>
        <v>800</v>
      </c>
      <c r="AG28" s="447">
        <f>+AF28</f>
        <v>800</v>
      </c>
      <c r="AH28" s="462">
        <f>+AF28/AD28</f>
        <v>0.98522167487684731</v>
      </c>
      <c r="AI28" s="30">
        <f>+AG28/AE28</f>
        <v>0.98522167487684731</v>
      </c>
      <c r="AJ28" s="168">
        <f t="shared" ref="AJ28:AJ29" si="15">+AI28</f>
        <v>0.98522167487684731</v>
      </c>
      <c r="AK28" s="70" t="s">
        <v>375</v>
      </c>
      <c r="AL28" s="270"/>
      <c r="AM28" s="165"/>
    </row>
    <row r="29" spans="1:39" ht="45" x14ac:dyDescent="0.25">
      <c r="B29" s="576" t="s">
        <v>23</v>
      </c>
      <c r="C29" s="196" t="s">
        <v>110</v>
      </c>
      <c r="D29" s="46" t="s">
        <v>101</v>
      </c>
      <c r="E29" s="59" t="s">
        <v>123</v>
      </c>
      <c r="F29" s="46" t="s">
        <v>211</v>
      </c>
      <c r="G29" s="4" t="s">
        <v>23</v>
      </c>
      <c r="H29" s="46" t="s">
        <v>185</v>
      </c>
      <c r="I29" s="46" t="s">
        <v>177</v>
      </c>
      <c r="J29" s="788" t="s">
        <v>184</v>
      </c>
      <c r="K29" s="59" t="s">
        <v>186</v>
      </c>
      <c r="L29" s="13">
        <v>0.77090000000000003</v>
      </c>
      <c r="M29" s="168">
        <v>0.72760000000000002</v>
      </c>
      <c r="N29" s="47">
        <v>0.74319999999999997</v>
      </c>
      <c r="O29" s="13">
        <v>0.73050000000000004</v>
      </c>
      <c r="P29" s="123">
        <f>+(O29-M29)/(N29-M29)</f>
        <v>0.1858974358974374</v>
      </c>
      <c r="Q29" s="158">
        <v>0.74990000000000001</v>
      </c>
      <c r="R29" s="48">
        <v>0.74990000000000001</v>
      </c>
      <c r="S29" s="32">
        <v>0.76849999999999996</v>
      </c>
      <c r="T29" s="13">
        <v>0.76849999999999996</v>
      </c>
      <c r="U29" s="30">
        <f t="shared" si="12"/>
        <v>1.8340807174887874</v>
      </c>
      <c r="V29" s="30">
        <f>+(T29-M29)/(L29-M29)</f>
        <v>0.94457274826789683</v>
      </c>
      <c r="W29" s="158">
        <v>0.76139999999999997</v>
      </c>
      <c r="X29" s="34">
        <v>0.76139999999999997</v>
      </c>
      <c r="Y29" s="40">
        <v>0.7772</v>
      </c>
      <c r="Z29" s="60">
        <v>0.7772</v>
      </c>
      <c r="AA29" s="281">
        <f t="shared" si="13"/>
        <v>1.4674556213017771</v>
      </c>
      <c r="AB29" s="281">
        <f>+(Z29-M29)/(L29-M29)</f>
        <v>1.1454965357967661</v>
      </c>
      <c r="AC29" s="123" t="s">
        <v>115</v>
      </c>
      <c r="AD29" s="252">
        <v>0.77090000000000003</v>
      </c>
      <c r="AE29" s="26">
        <f t="shared" si="4"/>
        <v>0.77090000000000003</v>
      </c>
      <c r="AF29" s="445">
        <f>+Y29</f>
        <v>0.7772</v>
      </c>
      <c r="AG29" s="445">
        <f>+AF29</f>
        <v>0.7772</v>
      </c>
      <c r="AH29" s="462">
        <f>+(AF29-M29)/(AD29-M29)</f>
        <v>1.1454965357967661</v>
      </c>
      <c r="AI29" s="281">
        <f>+(AG29-M29)/(AE29-M29)</f>
        <v>1.1454965357967661</v>
      </c>
      <c r="AJ29" s="168">
        <f t="shared" si="15"/>
        <v>1.1454965357967661</v>
      </c>
      <c r="AK29" s="70" t="s">
        <v>456</v>
      </c>
      <c r="AL29" s="270"/>
      <c r="AM29" s="167"/>
    </row>
    <row r="30" spans="1:39" ht="390" x14ac:dyDescent="0.25">
      <c r="A30" s="582" t="s">
        <v>333</v>
      </c>
      <c r="B30" s="583" t="s">
        <v>24</v>
      </c>
      <c r="C30" s="367" t="s">
        <v>110</v>
      </c>
      <c r="D30" s="46" t="s">
        <v>101</v>
      </c>
      <c r="E30" s="59" t="s">
        <v>123</v>
      </c>
      <c r="F30" s="46" t="s">
        <v>211</v>
      </c>
      <c r="G30" s="4" t="s">
        <v>24</v>
      </c>
      <c r="H30" s="46" t="s">
        <v>175</v>
      </c>
      <c r="I30" s="46" t="s">
        <v>177</v>
      </c>
      <c r="J30" s="788" t="s">
        <v>188</v>
      </c>
      <c r="K30" s="59" t="s">
        <v>193</v>
      </c>
      <c r="L30" s="29">
        <v>500798</v>
      </c>
      <c r="M30" s="200">
        <v>432372</v>
      </c>
      <c r="N30" s="49">
        <f>494798</f>
        <v>494798</v>
      </c>
      <c r="O30" s="19">
        <f>397378</f>
        <v>397378</v>
      </c>
      <c r="P30" s="249">
        <f>+O30/N30</f>
        <v>0.80311157280344703</v>
      </c>
      <c r="Q30" s="161">
        <v>496798</v>
      </c>
      <c r="R30" s="144">
        <v>496798</v>
      </c>
      <c r="S30" s="19">
        <v>419858</v>
      </c>
      <c r="T30" s="19">
        <v>419858</v>
      </c>
      <c r="U30" s="30">
        <f>+S30/Q30</f>
        <v>0.84512820099919883</v>
      </c>
      <c r="V30" s="30">
        <f>+T30/R30</f>
        <v>0.84512820099919883</v>
      </c>
      <c r="W30" s="161">
        <v>498798</v>
      </c>
      <c r="X30" s="36">
        <v>498798</v>
      </c>
      <c r="Y30" s="66">
        <v>404271</v>
      </c>
      <c r="Z30" s="66">
        <v>404271</v>
      </c>
      <c r="AA30" s="281">
        <f>+Y30/W30</f>
        <v>0.81049041896719709</v>
      </c>
      <c r="AB30" s="30">
        <f>+Z30/X30</f>
        <v>0.81049041896719709</v>
      </c>
      <c r="AC30" s="123" t="s">
        <v>115</v>
      </c>
      <c r="AD30" s="255">
        <v>582001</v>
      </c>
      <c r="AE30" s="35">
        <f t="shared" si="4"/>
        <v>500798</v>
      </c>
      <c r="AF30" s="447">
        <v>0</v>
      </c>
      <c r="AG30" s="447">
        <f>+Z30+AF30</f>
        <v>404271</v>
      </c>
      <c r="AH30" s="281">
        <f>+AF30/AD30</f>
        <v>0</v>
      </c>
      <c r="AI30" s="463">
        <f>+AG30/AE30</f>
        <v>0.80725362321734506</v>
      </c>
      <c r="AJ30" s="168">
        <f>+AI30</f>
        <v>0.80725362321734506</v>
      </c>
      <c r="AK30" s="745" t="s">
        <v>456</v>
      </c>
      <c r="AL30" s="270"/>
      <c r="AM30" s="165"/>
    </row>
    <row r="31" spans="1:39" ht="60" x14ac:dyDescent="0.25">
      <c r="B31" s="576" t="s">
        <v>25</v>
      </c>
      <c r="C31" s="197" t="s">
        <v>110</v>
      </c>
      <c r="D31" s="46" t="s">
        <v>101</v>
      </c>
      <c r="E31" s="59" t="s">
        <v>123</v>
      </c>
      <c r="F31" s="46" t="s">
        <v>211</v>
      </c>
      <c r="G31" s="78" t="s">
        <v>25</v>
      </c>
      <c r="H31" s="46" t="s">
        <v>191</v>
      </c>
      <c r="I31" s="46" t="s">
        <v>177</v>
      </c>
      <c r="J31" s="788" t="s">
        <v>190</v>
      </c>
      <c r="K31" s="59" t="s">
        <v>194</v>
      </c>
      <c r="L31" s="29">
        <v>3869</v>
      </c>
      <c r="M31" s="200">
        <v>5258</v>
      </c>
      <c r="N31" s="49">
        <v>3794</v>
      </c>
      <c r="O31" s="16">
        <v>3832</v>
      </c>
      <c r="P31" s="123">
        <f>+O31/N31</f>
        <v>1.0100158144438587</v>
      </c>
      <c r="Q31" s="161">
        <v>3819</v>
      </c>
      <c r="R31" s="144">
        <v>3819</v>
      </c>
      <c r="S31" s="27">
        <v>4042</v>
      </c>
      <c r="T31" s="27">
        <v>4042</v>
      </c>
      <c r="U31" s="437">
        <f>+S31/Q31</f>
        <v>1.0583922492799163</v>
      </c>
      <c r="V31" s="442">
        <f>+T31/$R31</f>
        <v>1.0583922492799163</v>
      </c>
      <c r="W31" s="56">
        <v>3844</v>
      </c>
      <c r="X31" s="36">
        <v>3844</v>
      </c>
      <c r="Y31" s="66">
        <v>4525</v>
      </c>
      <c r="Z31" s="66">
        <v>4525</v>
      </c>
      <c r="AA31" s="30">
        <f>+Y31/W31</f>
        <v>1.1771592091571279</v>
      </c>
      <c r="AB31" s="30">
        <f>+Z31/$X31</f>
        <v>1.1771592091571279</v>
      </c>
      <c r="AC31" s="123" t="s">
        <v>115</v>
      </c>
      <c r="AD31" s="258">
        <v>3869</v>
      </c>
      <c r="AE31" s="35">
        <f t="shared" si="4"/>
        <v>3869</v>
      </c>
      <c r="AF31" s="447">
        <f>+Z31</f>
        <v>4525</v>
      </c>
      <c r="AG31" s="447">
        <f>+AF31</f>
        <v>4525</v>
      </c>
      <c r="AH31" s="462">
        <f>+AF31/AD31</f>
        <v>1.1695528560351511</v>
      </c>
      <c r="AI31" s="30">
        <f>+AG31/AE31</f>
        <v>1.1695528560351511</v>
      </c>
      <c r="AJ31" s="168">
        <f>+AI31</f>
        <v>1.1695528560351511</v>
      </c>
      <c r="AK31" s="70" t="s">
        <v>456</v>
      </c>
      <c r="AL31" s="270"/>
      <c r="AM31" s="165"/>
    </row>
    <row r="32" spans="1:39" ht="225" x14ac:dyDescent="0.25">
      <c r="A32" s="446" t="s">
        <v>332</v>
      </c>
      <c r="B32" s="578" t="s">
        <v>26</v>
      </c>
      <c r="C32" s="367" t="s">
        <v>110</v>
      </c>
      <c r="D32" s="46" t="s">
        <v>101</v>
      </c>
      <c r="E32" s="59" t="s">
        <v>123</v>
      </c>
      <c r="F32" s="46" t="s">
        <v>211</v>
      </c>
      <c r="G32" s="78" t="s">
        <v>26</v>
      </c>
      <c r="H32" s="46" t="s">
        <v>191</v>
      </c>
      <c r="I32" s="46" t="s">
        <v>177</v>
      </c>
      <c r="J32" s="788" t="s">
        <v>187</v>
      </c>
      <c r="K32" s="59" t="s">
        <v>195</v>
      </c>
      <c r="L32" s="239">
        <v>553408</v>
      </c>
      <c r="M32" s="202">
        <v>690512</v>
      </c>
      <c r="N32" s="211">
        <v>669101</v>
      </c>
      <c r="O32" s="19">
        <v>670974</v>
      </c>
      <c r="P32" s="123">
        <f>(M32-O32)/(M32-N32)</f>
        <v>0.91252160104619118</v>
      </c>
      <c r="Q32" s="222">
        <v>639206</v>
      </c>
      <c r="R32" s="144">
        <v>639206</v>
      </c>
      <c r="S32" s="27">
        <v>667431</v>
      </c>
      <c r="T32" s="19">
        <v>667431</v>
      </c>
      <c r="U32" s="437">
        <f>+(M32-S32)/(M32-Q32)</f>
        <v>0.44986941098507</v>
      </c>
      <c r="V32" s="442">
        <f>+(M32-T32)/(M32-L32)</f>
        <v>0.16834665655268993</v>
      </c>
      <c r="W32" s="236">
        <v>603443</v>
      </c>
      <c r="X32" s="36">
        <v>603443</v>
      </c>
      <c r="Y32" s="581">
        <v>660327</v>
      </c>
      <c r="Z32" s="66">
        <f>+Y32</f>
        <v>660327</v>
      </c>
      <c r="AA32" s="30">
        <f>+(M32-Y32)/(M32-W32)</f>
        <v>0.34667907062215025</v>
      </c>
      <c r="AB32" s="30">
        <f>(M32-Z32)/(M32-X32)</f>
        <v>0.34667907062215025</v>
      </c>
      <c r="AC32" s="123" t="s">
        <v>115</v>
      </c>
      <c r="AD32" s="257">
        <v>553408</v>
      </c>
      <c r="AE32" s="36">
        <f t="shared" si="4"/>
        <v>553408</v>
      </c>
      <c r="AF32" s="449">
        <f>+Y32</f>
        <v>660327</v>
      </c>
      <c r="AG32" s="449">
        <f>+AF32</f>
        <v>660327</v>
      </c>
      <c r="AH32" s="463">
        <f>(M32-AF32)/(M32-AD32)</f>
        <v>0.22016133737892402</v>
      </c>
      <c r="AI32" s="30">
        <f>+(M32-AG32)/(M32-AE32)</f>
        <v>0.22016133737892402</v>
      </c>
      <c r="AJ32" s="168">
        <f t="shared" ref="AJ32" si="16">+AI32</f>
        <v>0.22016133737892402</v>
      </c>
      <c r="AK32" s="745" t="s">
        <v>437</v>
      </c>
      <c r="AL32" s="270"/>
      <c r="AM32" s="162"/>
    </row>
    <row r="33" spans="1:44" ht="150" x14ac:dyDescent="0.25">
      <c r="B33" s="576" t="s">
        <v>27</v>
      </c>
      <c r="C33" s="369" t="s">
        <v>110</v>
      </c>
      <c r="D33" s="46" t="s">
        <v>101</v>
      </c>
      <c r="E33" s="59" t="s">
        <v>124</v>
      </c>
      <c r="F33" s="46" t="s">
        <v>212</v>
      </c>
      <c r="G33" s="455" t="s">
        <v>27</v>
      </c>
      <c r="H33" s="46" t="s">
        <v>175</v>
      </c>
      <c r="I33" s="46" t="s">
        <v>178</v>
      </c>
      <c r="J33" s="788" t="s">
        <v>184</v>
      </c>
      <c r="K33" s="59" t="s">
        <v>196</v>
      </c>
      <c r="L33" s="29">
        <v>30693</v>
      </c>
      <c r="M33" s="200">
        <v>0</v>
      </c>
      <c r="N33" s="49">
        <v>1562</v>
      </c>
      <c r="O33" s="29">
        <v>3131</v>
      </c>
      <c r="P33" s="123">
        <f>+(O33-M33)/(N33-M33)</f>
        <v>2.0044814340588988</v>
      </c>
      <c r="Q33" s="161">
        <v>2722</v>
      </c>
      <c r="R33" s="144">
        <f>+N33+Q33</f>
        <v>4284</v>
      </c>
      <c r="S33" s="27">
        <v>2832</v>
      </c>
      <c r="T33" s="434">
        <f>+O33+S33</f>
        <v>5963</v>
      </c>
      <c r="U33" s="30">
        <f>+(S33-M33)/(Q33-M33)</f>
        <v>1.0404114621601763</v>
      </c>
      <c r="V33" s="30">
        <f>+(T33-M33)/(L33-M33)</f>
        <v>0.19427882579089695</v>
      </c>
      <c r="W33" s="161">
        <f>+X33-S33</f>
        <v>7466</v>
      </c>
      <c r="X33" s="27">
        <v>10298</v>
      </c>
      <c r="Y33" s="62">
        <v>2952</v>
      </c>
      <c r="Z33" s="66">
        <f>+T33+Y33</f>
        <v>8915</v>
      </c>
      <c r="AA33" s="281">
        <f>+(Y33-M33)/(W33-M33)</f>
        <v>0.39539244575408516</v>
      </c>
      <c r="AB33" s="30">
        <f>+Z33/$X33</f>
        <v>0.86570207807341226</v>
      </c>
      <c r="AC33" s="123" t="s">
        <v>115</v>
      </c>
      <c r="AD33" s="255">
        <f>+AE33-X33</f>
        <v>20395</v>
      </c>
      <c r="AE33" s="35">
        <f t="shared" si="4"/>
        <v>30693</v>
      </c>
      <c r="AF33" s="165">
        <v>17746</v>
      </c>
      <c r="AG33" s="299">
        <f>+Z33+AF33</f>
        <v>26661</v>
      </c>
      <c r="AH33" s="30">
        <f t="shared" ref="AH33" si="17">+AF33/AD33</f>
        <v>0.87011522431968624</v>
      </c>
      <c r="AI33" s="463">
        <f>+AG33/AE33</f>
        <v>0.86863454207799828</v>
      </c>
      <c r="AJ33" s="168">
        <f>+AI33</f>
        <v>0.86863454207799828</v>
      </c>
      <c r="AK33" s="585" t="s">
        <v>461</v>
      </c>
      <c r="AL33" s="584" t="s">
        <v>462</v>
      </c>
      <c r="AM33" s="165"/>
      <c r="AN33" s="473"/>
      <c r="AR33" s="155"/>
    </row>
    <row r="34" spans="1:44" ht="90" x14ac:dyDescent="0.25">
      <c r="A34" s="446" t="s">
        <v>315</v>
      </c>
      <c r="B34" s="578" t="s">
        <v>28</v>
      </c>
      <c r="C34" s="367" t="s">
        <v>110</v>
      </c>
      <c r="D34" s="46" t="s">
        <v>101</v>
      </c>
      <c r="E34" s="59" t="s">
        <v>123</v>
      </c>
      <c r="F34" s="46" t="s">
        <v>211</v>
      </c>
      <c r="G34" s="4" t="s">
        <v>28</v>
      </c>
      <c r="H34" s="46" t="s">
        <v>175</v>
      </c>
      <c r="I34" s="46" t="s">
        <v>177</v>
      </c>
      <c r="J34" s="788" t="s">
        <v>190</v>
      </c>
      <c r="K34" s="59" t="s">
        <v>186</v>
      </c>
      <c r="L34" s="472">
        <v>0.57789999999999997</v>
      </c>
      <c r="M34" s="747">
        <v>0.57479999999999998</v>
      </c>
      <c r="N34" s="47">
        <v>0.5766</v>
      </c>
      <c r="O34" s="13">
        <v>0.58809999999999996</v>
      </c>
      <c r="P34" s="249">
        <f>+O34/N34</f>
        <v>1.0199445022545959</v>
      </c>
      <c r="Q34" s="158">
        <v>0.5766</v>
      </c>
      <c r="R34" s="48">
        <v>0.5766</v>
      </c>
      <c r="S34" s="32">
        <v>0.5706</v>
      </c>
      <c r="T34" s="13">
        <v>0.5706</v>
      </c>
      <c r="U34" s="438">
        <f>+S34/Q34</f>
        <v>0.98959417273673256</v>
      </c>
      <c r="V34" s="442">
        <f>+T34/$R34</f>
        <v>0.98959417273673256</v>
      </c>
      <c r="W34" s="51">
        <v>0.57720000000000005</v>
      </c>
      <c r="X34" s="34">
        <v>0.57720000000000005</v>
      </c>
      <c r="Y34" s="40">
        <v>0.55569999999999997</v>
      </c>
      <c r="Z34" s="60">
        <v>0.55569999999999997</v>
      </c>
      <c r="AA34" s="32">
        <f>+Y34/W34</f>
        <v>0.96275121275121267</v>
      </c>
      <c r="AB34" s="30">
        <f>+Z34/$X34</f>
        <v>0.96275121275121267</v>
      </c>
      <c r="AC34" s="123" t="s">
        <v>115</v>
      </c>
      <c r="AD34" s="252">
        <v>0.57789999999999997</v>
      </c>
      <c r="AE34" s="26">
        <v>0.57789999999999997</v>
      </c>
      <c r="AF34" s="370">
        <f>+Z34</f>
        <v>0.55569999999999997</v>
      </c>
      <c r="AG34" s="370">
        <f>+AF34</f>
        <v>0.55569999999999997</v>
      </c>
      <c r="AH34" s="462">
        <f>+AF34/AD34</f>
        <v>0.96158504931649069</v>
      </c>
      <c r="AI34" s="30">
        <f>+AG34/AE34</f>
        <v>0.96158504931649069</v>
      </c>
      <c r="AJ34" s="168">
        <f t="shared" ref="AJ34" si="18">+AI34</f>
        <v>0.96158504931649069</v>
      </c>
      <c r="AK34" s="70" t="s">
        <v>456</v>
      </c>
      <c r="AL34" s="270"/>
      <c r="AM34" s="167"/>
    </row>
    <row r="35" spans="1:44" ht="60" x14ac:dyDescent="0.25">
      <c r="B35" s="576" t="s">
        <v>29</v>
      </c>
      <c r="C35" s="196" t="s">
        <v>111</v>
      </c>
      <c r="D35" s="46" t="s">
        <v>101</v>
      </c>
      <c r="E35" s="59" t="s">
        <v>127</v>
      </c>
      <c r="F35" s="46" t="s">
        <v>212</v>
      </c>
      <c r="G35" s="455" t="s">
        <v>29</v>
      </c>
      <c r="H35" s="46" t="s">
        <v>185</v>
      </c>
      <c r="I35" s="46" t="s">
        <v>180</v>
      </c>
      <c r="J35" s="788" t="s">
        <v>190</v>
      </c>
      <c r="K35" s="59" t="s">
        <v>183</v>
      </c>
      <c r="L35" s="9">
        <v>0.45</v>
      </c>
      <c r="M35" s="168">
        <v>0.33300000000000002</v>
      </c>
      <c r="N35" s="47">
        <v>0.34899999999999998</v>
      </c>
      <c r="O35" s="12">
        <v>0.34</v>
      </c>
      <c r="P35" s="123">
        <f>+O35/N35</f>
        <v>0.97421203438395432</v>
      </c>
      <c r="Q35" s="158">
        <v>0.36899999999999999</v>
      </c>
      <c r="R35" s="48">
        <v>0.36899999999999999</v>
      </c>
      <c r="S35" s="15">
        <v>0.41399999999999998</v>
      </c>
      <c r="T35" s="15">
        <v>0.41399999999999998</v>
      </c>
      <c r="U35" s="30">
        <f>+S35/Q35</f>
        <v>1.121951219512195</v>
      </c>
      <c r="V35" s="30">
        <f>+T35/R35</f>
        <v>1.121951219512195</v>
      </c>
      <c r="W35" s="181">
        <v>0.42099999999999999</v>
      </c>
      <c r="X35" s="34">
        <v>0.42099999999999999</v>
      </c>
      <c r="Y35" s="44">
        <v>0.45400000000000001</v>
      </c>
      <c r="Z35" s="44">
        <v>0.45400000000000001</v>
      </c>
      <c r="AA35" s="281">
        <f>+Y35/W35</f>
        <v>1.0783847980997625</v>
      </c>
      <c r="AB35" s="30">
        <f>+Z35/X35</f>
        <v>1.0783847980997625</v>
      </c>
      <c r="AC35" s="123" t="s">
        <v>115</v>
      </c>
      <c r="AD35" s="252">
        <v>0.45</v>
      </c>
      <c r="AE35" s="243">
        <f t="shared" ref="AE35:AE42" si="19">+L35</f>
        <v>0.45</v>
      </c>
      <c r="AF35" s="443">
        <v>0</v>
      </c>
      <c r="AG35" s="443">
        <v>0.45400000000000001</v>
      </c>
      <c r="AH35" s="462">
        <f t="shared" ref="AH35:AI37" si="20">+AF35/AD35</f>
        <v>0</v>
      </c>
      <c r="AI35" s="30">
        <f t="shared" si="20"/>
        <v>1.0088888888888889</v>
      </c>
      <c r="AJ35" s="168">
        <f t="shared" ref="AJ35:AJ66" si="21">+AI35</f>
        <v>1.0088888888888889</v>
      </c>
      <c r="AK35" s="70" t="s">
        <v>375</v>
      </c>
      <c r="AL35" s="270"/>
      <c r="AM35" s="174"/>
    </row>
    <row r="36" spans="1:44" ht="90" x14ac:dyDescent="0.25">
      <c r="A36" s="446" t="s">
        <v>378</v>
      </c>
      <c r="B36" s="577" t="s">
        <v>30</v>
      </c>
      <c r="C36" s="196" t="s">
        <v>111</v>
      </c>
      <c r="D36" s="46" t="s">
        <v>101</v>
      </c>
      <c r="E36" s="59" t="s">
        <v>127</v>
      </c>
      <c r="F36" s="46" t="s">
        <v>212</v>
      </c>
      <c r="G36" s="455" t="s">
        <v>30</v>
      </c>
      <c r="H36" s="46" t="s">
        <v>191</v>
      </c>
      <c r="I36" s="46" t="s">
        <v>177</v>
      </c>
      <c r="J36" s="788" t="s">
        <v>190</v>
      </c>
      <c r="K36" s="59" t="s">
        <v>183</v>
      </c>
      <c r="L36" s="9">
        <v>0.12</v>
      </c>
      <c r="M36" s="168">
        <v>0</v>
      </c>
      <c r="N36" s="47">
        <v>0.03</v>
      </c>
      <c r="O36" s="13">
        <v>2.9499999999999998E-2</v>
      </c>
      <c r="P36" s="123">
        <f>+O36/N36</f>
        <v>0.98333333333333328</v>
      </c>
      <c r="Q36" s="158">
        <v>0.06</v>
      </c>
      <c r="R36" s="48">
        <v>0.06</v>
      </c>
      <c r="S36" s="13">
        <v>6.25E-2</v>
      </c>
      <c r="T36" s="291">
        <v>6.25E-2</v>
      </c>
      <c r="U36" s="30">
        <f>+S36/Q36</f>
        <v>1.0416666666666667</v>
      </c>
      <c r="V36" s="30">
        <f>+T36/R36</f>
        <v>1.0416666666666667</v>
      </c>
      <c r="W36" s="181">
        <v>0.09</v>
      </c>
      <c r="X36" s="34">
        <v>0.09</v>
      </c>
      <c r="Y36" s="748">
        <v>0</v>
      </c>
      <c r="Z36" s="44">
        <f>+Y36</f>
        <v>0</v>
      </c>
      <c r="AA36" s="281">
        <f>+Y36/W36</f>
        <v>0</v>
      </c>
      <c r="AB36" s="30">
        <f>+Z36/X36</f>
        <v>0</v>
      </c>
      <c r="AC36" s="123" t="s">
        <v>115</v>
      </c>
      <c r="AD36" s="252">
        <v>0.12</v>
      </c>
      <c r="AE36" s="243">
        <f t="shared" si="19"/>
        <v>0.12</v>
      </c>
      <c r="AF36" s="370">
        <f>+Y36</f>
        <v>0</v>
      </c>
      <c r="AG36" s="370">
        <f>+AF36</f>
        <v>0</v>
      </c>
      <c r="AH36" s="462">
        <f t="shared" si="20"/>
        <v>0</v>
      </c>
      <c r="AI36" s="281">
        <f t="shared" si="20"/>
        <v>0</v>
      </c>
      <c r="AJ36" s="168">
        <f t="shared" si="21"/>
        <v>0</v>
      </c>
      <c r="AK36" s="70" t="s">
        <v>375</v>
      </c>
      <c r="AL36" s="270"/>
      <c r="AM36" s="174"/>
    </row>
    <row r="37" spans="1:44" ht="90" x14ac:dyDescent="0.25">
      <c r="A37" s="446"/>
      <c r="B37" s="579" t="s">
        <v>31</v>
      </c>
      <c r="C37" s="369" t="s">
        <v>111</v>
      </c>
      <c r="D37" s="46" t="s">
        <v>101</v>
      </c>
      <c r="E37" s="59" t="s">
        <v>128</v>
      </c>
      <c r="F37" s="46" t="s">
        <v>211</v>
      </c>
      <c r="G37" s="4" t="s">
        <v>31</v>
      </c>
      <c r="H37" s="46" t="s">
        <v>185</v>
      </c>
      <c r="I37" s="46" t="s">
        <v>177</v>
      </c>
      <c r="J37" s="54" t="s">
        <v>190</v>
      </c>
      <c r="K37" s="59" t="s">
        <v>183</v>
      </c>
      <c r="L37" s="9">
        <v>0.08</v>
      </c>
      <c r="M37" s="168">
        <v>2.2599999999999999E-2</v>
      </c>
      <c r="N37" s="47">
        <v>0.03</v>
      </c>
      <c r="O37" s="15">
        <v>3.2000000000000001E-2</v>
      </c>
      <c r="P37" s="123">
        <f>+O37/N37</f>
        <v>1.0666666666666667</v>
      </c>
      <c r="Q37" s="158">
        <v>0.04</v>
      </c>
      <c r="R37" s="48">
        <v>0.04</v>
      </c>
      <c r="S37" s="15">
        <v>5.6000000000000001E-2</v>
      </c>
      <c r="T37" s="25">
        <v>5.6000000000000001E-2</v>
      </c>
      <c r="U37" s="30">
        <f>+S37/Q37</f>
        <v>1.4</v>
      </c>
      <c r="V37" s="30">
        <f>+T37/R37</f>
        <v>1.4</v>
      </c>
      <c r="W37" s="181">
        <v>0.06</v>
      </c>
      <c r="X37" s="34">
        <v>0.06</v>
      </c>
      <c r="Y37" s="52">
        <v>4.7500000000000001E-2</v>
      </c>
      <c r="Z37" s="44">
        <v>4.7500000000000001E-2</v>
      </c>
      <c r="AA37" s="281">
        <f>+Y37/W37</f>
        <v>0.79166666666666674</v>
      </c>
      <c r="AB37" s="30">
        <f>+Z37/X37</f>
        <v>0.79166666666666674</v>
      </c>
      <c r="AC37" s="123" t="s">
        <v>115</v>
      </c>
      <c r="AD37" s="252">
        <v>0.08</v>
      </c>
      <c r="AE37" s="241">
        <f t="shared" si="19"/>
        <v>0.08</v>
      </c>
      <c r="AF37" s="443">
        <v>4.7500000000000001E-2</v>
      </c>
      <c r="AG37" s="443">
        <v>4.7500000000000001E-2</v>
      </c>
      <c r="AH37" s="463">
        <f t="shared" si="20"/>
        <v>0.59375</v>
      </c>
      <c r="AI37" s="30">
        <f t="shared" si="20"/>
        <v>0.59375</v>
      </c>
      <c r="AJ37" s="168">
        <f t="shared" si="21"/>
        <v>0.59375</v>
      </c>
      <c r="AK37" s="70" t="s">
        <v>375</v>
      </c>
      <c r="AL37" s="271"/>
      <c r="AM37" s="174"/>
    </row>
    <row r="38" spans="1:44" ht="60" x14ac:dyDescent="0.25">
      <c r="B38" s="576" t="s">
        <v>32</v>
      </c>
      <c r="C38" s="196" t="s">
        <v>111</v>
      </c>
      <c r="D38" s="46" t="s">
        <v>101</v>
      </c>
      <c r="E38" s="59" t="s">
        <v>129</v>
      </c>
      <c r="F38" s="46" t="s">
        <v>212</v>
      </c>
      <c r="G38" s="455" t="s">
        <v>32</v>
      </c>
      <c r="H38" s="46" t="s">
        <v>175</v>
      </c>
      <c r="I38" s="46" t="s">
        <v>178</v>
      </c>
      <c r="J38" s="788" t="s">
        <v>184</v>
      </c>
      <c r="K38" s="59" t="s">
        <v>183</v>
      </c>
      <c r="L38" s="12">
        <v>0.2</v>
      </c>
      <c r="M38" s="168">
        <v>0</v>
      </c>
      <c r="N38" s="47">
        <v>0.04</v>
      </c>
      <c r="O38" s="15">
        <v>4.6047929010066026E-2</v>
      </c>
      <c r="P38" s="123">
        <f>+(O38-M38)/(N38-M38)</f>
        <v>1.1511982252516506</v>
      </c>
      <c r="Q38" s="158">
        <v>0.09</v>
      </c>
      <c r="R38" s="48">
        <v>0.09</v>
      </c>
      <c r="S38" s="13">
        <v>6.9900000000000004E-2</v>
      </c>
      <c r="T38" s="10">
        <v>6.9900000000000004E-2</v>
      </c>
      <c r="U38" s="30">
        <f>+(S38-M38)/(Q38-M38)</f>
        <v>0.77666666666666673</v>
      </c>
      <c r="V38" s="30">
        <f>+(T38-M38)/(L38-M38)</f>
        <v>0.34949999999999998</v>
      </c>
      <c r="W38" s="181">
        <v>0.13</v>
      </c>
      <c r="X38" s="34">
        <v>0.13</v>
      </c>
      <c r="Y38" s="44">
        <v>0.10009999999999999</v>
      </c>
      <c r="Z38" s="44">
        <v>0.10009999999999999</v>
      </c>
      <c r="AA38" s="281">
        <f>+(Y38-M38)/(W38-M38)</f>
        <v>0.76999999999999991</v>
      </c>
      <c r="AB38" s="281">
        <f>+(Z38-M38)/(L38-M38)</f>
        <v>0.50049999999999994</v>
      </c>
      <c r="AC38" s="123" t="s">
        <v>115</v>
      </c>
      <c r="AD38" s="252">
        <v>0.2</v>
      </c>
      <c r="AE38" s="242">
        <f t="shared" si="19"/>
        <v>0.2</v>
      </c>
      <c r="AF38" s="750">
        <v>0.13389999999999999</v>
      </c>
      <c r="AG38" s="167">
        <f>+AF38</f>
        <v>0.13389999999999999</v>
      </c>
      <c r="AH38" s="462">
        <f>+(AF38-M38)/(AD38-M38)</f>
        <v>0.66949999999999987</v>
      </c>
      <c r="AI38" s="281">
        <f>+(AG38-M38)/(AE38-M38)</f>
        <v>0.66949999999999987</v>
      </c>
      <c r="AJ38" s="168">
        <f>+AI38</f>
        <v>0.66949999999999987</v>
      </c>
      <c r="AK38" s="585" t="s">
        <v>464</v>
      </c>
      <c r="AL38" s="271" t="s">
        <v>463</v>
      </c>
      <c r="AM38" s="170"/>
    </row>
    <row r="39" spans="1:44" ht="135" x14ac:dyDescent="0.25">
      <c r="A39" s="446"/>
      <c r="B39" s="579" t="s">
        <v>33</v>
      </c>
      <c r="C39" s="369" t="s">
        <v>111</v>
      </c>
      <c r="D39" s="46" t="s">
        <v>101</v>
      </c>
      <c r="E39" s="59" t="s">
        <v>130</v>
      </c>
      <c r="F39" s="46" t="s">
        <v>211</v>
      </c>
      <c r="G39" s="454" t="s">
        <v>33</v>
      </c>
      <c r="H39" s="46" t="s">
        <v>185</v>
      </c>
      <c r="I39" s="46" t="s">
        <v>177</v>
      </c>
      <c r="J39" s="788" t="s">
        <v>190</v>
      </c>
      <c r="K39" s="59" t="s">
        <v>183</v>
      </c>
      <c r="L39" s="10">
        <v>0.309</v>
      </c>
      <c r="M39" s="168">
        <v>0.27700000000000002</v>
      </c>
      <c r="N39" s="47">
        <v>0.28499999999999998</v>
      </c>
      <c r="O39" s="13">
        <v>0.26400000000000001</v>
      </c>
      <c r="P39" s="123">
        <f>+O39/N39</f>
        <v>0.92631578947368431</v>
      </c>
      <c r="Q39" s="158">
        <v>0.29299999999999998</v>
      </c>
      <c r="R39" s="48">
        <v>0.29299999999999998</v>
      </c>
      <c r="S39" s="13">
        <v>0.35720000000000002</v>
      </c>
      <c r="T39" s="13">
        <v>0.35720000000000002</v>
      </c>
      <c r="U39" s="30">
        <f>+S39/Q39</f>
        <v>1.2191126279863482</v>
      </c>
      <c r="V39" s="30">
        <f>+T39/R39</f>
        <v>1.2191126279863482</v>
      </c>
      <c r="W39" s="181">
        <v>0.30099999999999999</v>
      </c>
      <c r="X39" s="34">
        <v>0.30099999999999999</v>
      </c>
      <c r="Y39" s="52">
        <v>0.32129999999999997</v>
      </c>
      <c r="Z39" s="52">
        <v>0.32129999999999997</v>
      </c>
      <c r="AA39" s="281">
        <f>+Y39/W39</f>
        <v>1.0674418604651161</v>
      </c>
      <c r="AB39" s="30">
        <f>+Z39/X39</f>
        <v>1.0674418604651161</v>
      </c>
      <c r="AC39" s="123" t="s">
        <v>115</v>
      </c>
      <c r="AD39" s="252">
        <v>0.309</v>
      </c>
      <c r="AE39" s="243">
        <f t="shared" si="19"/>
        <v>0.309</v>
      </c>
      <c r="AF39" s="443">
        <v>0.32129999999999997</v>
      </c>
      <c r="AG39" s="443">
        <v>0.32129999999999997</v>
      </c>
      <c r="AH39" s="462">
        <f>+AF39/AD39</f>
        <v>1.0398058252427185</v>
      </c>
      <c r="AI39" s="30">
        <f>+AG39/AE39</f>
        <v>1.0398058252427185</v>
      </c>
      <c r="AJ39" s="168">
        <f t="shared" si="21"/>
        <v>1.0398058252427185</v>
      </c>
      <c r="AK39" s="70" t="s">
        <v>375</v>
      </c>
      <c r="AL39" s="270" t="s">
        <v>450</v>
      </c>
      <c r="AM39" s="171"/>
    </row>
    <row r="40" spans="1:44" ht="135" x14ac:dyDescent="0.25">
      <c r="A40" s="446"/>
      <c r="B40" s="579" t="s">
        <v>34</v>
      </c>
      <c r="C40" s="369" t="s">
        <v>111</v>
      </c>
      <c r="D40" s="46" t="s">
        <v>101</v>
      </c>
      <c r="E40" s="59" t="s">
        <v>130</v>
      </c>
      <c r="F40" s="46" t="s">
        <v>211</v>
      </c>
      <c r="G40" s="454" t="s">
        <v>34</v>
      </c>
      <c r="H40" s="46" t="s">
        <v>191</v>
      </c>
      <c r="I40" s="46" t="s">
        <v>177</v>
      </c>
      <c r="J40" s="788" t="s">
        <v>190</v>
      </c>
      <c r="K40" s="59" t="s">
        <v>183</v>
      </c>
      <c r="L40" s="10">
        <v>0.29899999999999999</v>
      </c>
      <c r="M40" s="168">
        <v>0.217</v>
      </c>
      <c r="N40" s="47">
        <v>0.23799999999999999</v>
      </c>
      <c r="O40" s="21">
        <v>0.2326</v>
      </c>
      <c r="P40" s="123">
        <f>+O40/N40</f>
        <v>0.97731092436974798</v>
      </c>
      <c r="Q40" s="158">
        <v>0.25800000000000001</v>
      </c>
      <c r="R40" s="48">
        <v>0.25800000000000001</v>
      </c>
      <c r="S40" s="13">
        <v>0.29870000000000002</v>
      </c>
      <c r="T40" s="13">
        <v>0.29870000000000002</v>
      </c>
      <c r="U40" s="30">
        <f>+S40/Q40</f>
        <v>1.1577519379844963</v>
      </c>
      <c r="V40" s="30">
        <f>+T40/R40</f>
        <v>1.1577519379844963</v>
      </c>
      <c r="W40" s="181">
        <v>0.27900000000000003</v>
      </c>
      <c r="X40" s="34">
        <v>0.27900000000000003</v>
      </c>
      <c r="Y40" s="52">
        <v>0.2084</v>
      </c>
      <c r="Z40" s="52">
        <v>0.2084</v>
      </c>
      <c r="AA40" s="281">
        <f>+Y40/W40</f>
        <v>0.74695340501792107</v>
      </c>
      <c r="AB40" s="30">
        <f>+Z40/X40</f>
        <v>0.74695340501792107</v>
      </c>
      <c r="AC40" s="123" t="s">
        <v>115</v>
      </c>
      <c r="AD40" s="252">
        <v>0.29899999999999999</v>
      </c>
      <c r="AE40" s="243">
        <f t="shared" si="19"/>
        <v>0.29899999999999999</v>
      </c>
      <c r="AF40" s="171">
        <v>0.2084</v>
      </c>
      <c r="AG40" s="171">
        <v>0.2084</v>
      </c>
      <c r="AH40" s="462">
        <f>+AF40/AD40</f>
        <v>0.69698996655518397</v>
      </c>
      <c r="AI40" s="30">
        <f>+AG40/AE40</f>
        <v>0.69698996655518397</v>
      </c>
      <c r="AJ40" s="168">
        <f t="shared" si="21"/>
        <v>0.69698996655518397</v>
      </c>
      <c r="AK40" s="70" t="s">
        <v>375</v>
      </c>
      <c r="AL40" s="270" t="s">
        <v>451</v>
      </c>
      <c r="AM40" s="171"/>
    </row>
    <row r="41" spans="1:44" ht="135" x14ac:dyDescent="0.25">
      <c r="A41" s="446" t="s">
        <v>379</v>
      </c>
      <c r="B41" s="578" t="s">
        <v>35</v>
      </c>
      <c r="C41" s="367" t="s">
        <v>111</v>
      </c>
      <c r="D41" s="46" t="s">
        <v>101</v>
      </c>
      <c r="E41" s="59" t="s">
        <v>130</v>
      </c>
      <c r="F41" s="46" t="s">
        <v>212</v>
      </c>
      <c r="G41" s="455" t="s">
        <v>35</v>
      </c>
      <c r="H41" s="46" t="s">
        <v>185</v>
      </c>
      <c r="I41" s="46" t="s">
        <v>177</v>
      </c>
      <c r="J41" s="788" t="s">
        <v>187</v>
      </c>
      <c r="K41" s="59" t="s">
        <v>197</v>
      </c>
      <c r="L41" s="29">
        <v>20</v>
      </c>
      <c r="M41" s="200">
        <v>27</v>
      </c>
      <c r="N41" s="49">
        <v>26</v>
      </c>
      <c r="O41" s="17">
        <v>24</v>
      </c>
      <c r="P41" s="123">
        <f>(M41-O41)/(M41-N41)</f>
        <v>3</v>
      </c>
      <c r="Q41" s="160">
        <v>24</v>
      </c>
      <c r="R41" s="232">
        <v>24</v>
      </c>
      <c r="S41" s="491">
        <v>26.11</v>
      </c>
      <c r="T41" s="20">
        <v>26.11</v>
      </c>
      <c r="U41" s="437">
        <f>+(M41-S41)/(M41-Q41)</f>
        <v>0.29666666666666686</v>
      </c>
      <c r="V41" s="442">
        <f>+(M41-T41)/(M41-L41)</f>
        <v>0.12714285714285722</v>
      </c>
      <c r="W41" s="56">
        <v>22</v>
      </c>
      <c r="X41" s="36">
        <v>22</v>
      </c>
      <c r="Y41" s="53">
        <v>22.98</v>
      </c>
      <c r="Z41" s="53">
        <v>22.98</v>
      </c>
      <c r="AA41" s="30">
        <f>+(M41-Y41)/(M41-W41)</f>
        <v>0.80399999999999994</v>
      </c>
      <c r="AB41" s="30">
        <f>(M41-Z41)/(M41-X41)</f>
        <v>0.80399999999999994</v>
      </c>
      <c r="AC41" s="123" t="s">
        <v>115</v>
      </c>
      <c r="AD41" s="255">
        <v>20</v>
      </c>
      <c r="AE41" s="35">
        <f t="shared" si="19"/>
        <v>20</v>
      </c>
      <c r="AF41" s="720">
        <v>23.49</v>
      </c>
      <c r="AG41" s="720">
        <f>+AF41</f>
        <v>23.49</v>
      </c>
      <c r="AH41" s="463">
        <f>(M41-AF41)/(M41-AD41)</f>
        <v>0.50142857142857167</v>
      </c>
      <c r="AI41" s="30">
        <f>+(M41-AG41)/(M41-AE41)</f>
        <v>0.50142857142857167</v>
      </c>
      <c r="AJ41" s="168">
        <f t="shared" si="21"/>
        <v>0.50142857142857167</v>
      </c>
      <c r="AK41" s="70" t="s">
        <v>447</v>
      </c>
      <c r="AL41" s="270" t="s">
        <v>448</v>
      </c>
      <c r="AM41" s="165"/>
    </row>
    <row r="42" spans="1:44" ht="150" x14ac:dyDescent="0.25">
      <c r="A42" s="446" t="s">
        <v>428</v>
      </c>
      <c r="B42" s="749" t="s">
        <v>36</v>
      </c>
      <c r="C42" s="369" t="s">
        <v>111</v>
      </c>
      <c r="D42" s="46" t="s">
        <v>101</v>
      </c>
      <c r="E42" s="59" t="s">
        <v>127</v>
      </c>
      <c r="F42" s="46" t="s">
        <v>211</v>
      </c>
      <c r="G42" s="4" t="s">
        <v>36</v>
      </c>
      <c r="H42" s="46" t="s">
        <v>185</v>
      </c>
      <c r="I42" s="46" t="s">
        <v>177</v>
      </c>
      <c r="J42" s="788" t="s">
        <v>190</v>
      </c>
      <c r="K42" s="59" t="s">
        <v>183</v>
      </c>
      <c r="L42" s="37">
        <v>0.75</v>
      </c>
      <c r="M42" s="168">
        <v>0.53100000000000003</v>
      </c>
      <c r="N42" s="85">
        <v>0.58599999999999997</v>
      </c>
      <c r="O42" s="38">
        <v>0.52769999999999995</v>
      </c>
      <c r="P42" s="249">
        <f>+O42/N42</f>
        <v>0.90051194539249146</v>
      </c>
      <c r="Q42" s="220">
        <v>0.64100000000000001</v>
      </c>
      <c r="R42" s="48">
        <v>0.64100000000000001</v>
      </c>
      <c r="S42" s="32">
        <v>0.57650000000000001</v>
      </c>
      <c r="T42" s="39">
        <v>0.57650000000000001</v>
      </c>
      <c r="U42" s="30">
        <f>+S42/Q42</f>
        <v>0.89937597503900157</v>
      </c>
      <c r="V42" s="30">
        <f>+T42/R42</f>
        <v>0.89937597503900157</v>
      </c>
      <c r="W42" s="158">
        <v>0.69599999999999995</v>
      </c>
      <c r="X42" s="48">
        <v>0.69599999999999995</v>
      </c>
      <c r="Y42" s="330">
        <f>+S42</f>
        <v>0.57650000000000001</v>
      </c>
      <c r="Z42" s="464">
        <f>+Y42</f>
        <v>0.57650000000000001</v>
      </c>
      <c r="AA42" s="281">
        <f>+Y42/W42</f>
        <v>0.8283045977011495</v>
      </c>
      <c r="AB42" s="30">
        <f>+Z42/X42</f>
        <v>0.8283045977011495</v>
      </c>
      <c r="AC42" s="123" t="s">
        <v>427</v>
      </c>
      <c r="AD42" s="252">
        <v>0.75</v>
      </c>
      <c r="AE42" s="244">
        <f t="shared" si="19"/>
        <v>0.75</v>
      </c>
      <c r="AF42" s="461">
        <f>+Y42</f>
        <v>0.57650000000000001</v>
      </c>
      <c r="AG42" s="461">
        <f>+AF42</f>
        <v>0.57650000000000001</v>
      </c>
      <c r="AH42" s="462">
        <f>+AF42/AD42</f>
        <v>0.76866666666666672</v>
      </c>
      <c r="AI42" s="281">
        <f>+AG42/AE42</f>
        <v>0.76866666666666672</v>
      </c>
      <c r="AJ42" s="168">
        <f t="shared" si="21"/>
        <v>0.76866666666666672</v>
      </c>
      <c r="AK42" s="745" t="s">
        <v>458</v>
      </c>
      <c r="AL42" s="270"/>
      <c r="AM42" s="175"/>
    </row>
    <row r="43" spans="1:44" ht="75" x14ac:dyDescent="0.25">
      <c r="B43" s="576" t="s">
        <v>157</v>
      </c>
      <c r="C43" s="196" t="s">
        <v>111</v>
      </c>
      <c r="D43" s="46" t="s">
        <v>101</v>
      </c>
      <c r="E43" s="59" t="s">
        <v>127</v>
      </c>
      <c r="F43" s="46" t="s">
        <v>212</v>
      </c>
      <c r="G43" s="455" t="s">
        <v>157</v>
      </c>
      <c r="H43" s="46" t="s">
        <v>175</v>
      </c>
      <c r="I43" s="46" t="s">
        <v>177</v>
      </c>
      <c r="J43" s="788" t="s">
        <v>184</v>
      </c>
      <c r="K43" s="59" t="s">
        <v>183</v>
      </c>
      <c r="L43" s="289" t="s">
        <v>264</v>
      </c>
      <c r="M43" s="168">
        <v>0.29399999999999998</v>
      </c>
      <c r="N43" s="212" t="s">
        <v>262</v>
      </c>
      <c r="O43" s="673">
        <v>0.317</v>
      </c>
      <c r="P43" s="123">
        <f>+(31.7%-29.4%)/(31.2%-29.4%)</f>
        <v>1.2777777777777777</v>
      </c>
      <c r="Q43" s="158" t="s">
        <v>268</v>
      </c>
      <c r="R43" s="230" t="s">
        <v>263</v>
      </c>
      <c r="S43" s="15">
        <v>0.40799999999999997</v>
      </c>
      <c r="T43" s="22">
        <v>0.40799999999999997</v>
      </c>
      <c r="U43" s="30">
        <f>+(S43-M43)/(33%-M43)</f>
        <v>3.1666666666666634</v>
      </c>
      <c r="V43" s="30">
        <f>+(S43-M43)/(38%-M43)</f>
        <v>1.3255813953488367</v>
      </c>
      <c r="W43" s="158" t="s">
        <v>267</v>
      </c>
      <c r="X43" s="93" t="s">
        <v>269</v>
      </c>
      <c r="Y43" s="44" t="s">
        <v>414</v>
      </c>
      <c r="Z43" s="44" t="s">
        <v>414</v>
      </c>
      <c r="AA43" s="281">
        <f>+(43.48%-M43)/(36.6%-M43)</f>
        <v>1.955555555555555</v>
      </c>
      <c r="AB43" s="281">
        <f>+(43.48%-M43)/(38%-M43)</f>
        <v>1.6372093023255807</v>
      </c>
      <c r="AC43" s="123" t="s">
        <v>115</v>
      </c>
      <c r="AD43" s="72" t="s">
        <v>265</v>
      </c>
      <c r="AE43" s="288" t="s">
        <v>266</v>
      </c>
      <c r="AF43" s="443">
        <v>0.43480000000000002</v>
      </c>
      <c r="AG43" s="443">
        <f>+AF43</f>
        <v>0.43480000000000002</v>
      </c>
      <c r="AH43" s="462">
        <f>+(AF43-M43)/(38%-M43)</f>
        <v>1.6372093023255814</v>
      </c>
      <c r="AI43" s="281">
        <f>+(AG43-M43)/(38%-M43)</f>
        <v>1.6372093023255814</v>
      </c>
      <c r="AJ43" s="168">
        <f t="shared" si="21"/>
        <v>1.6372093023255814</v>
      </c>
      <c r="AK43" s="70" t="s">
        <v>449</v>
      </c>
      <c r="AL43" s="271" t="s">
        <v>429</v>
      </c>
      <c r="AM43" s="171"/>
      <c r="AP43" s="155"/>
    </row>
    <row r="44" spans="1:44" ht="90" x14ac:dyDescent="0.25">
      <c r="B44" s="576" t="s">
        <v>38</v>
      </c>
      <c r="C44" s="369" t="s">
        <v>111</v>
      </c>
      <c r="D44" s="46" t="s">
        <v>101</v>
      </c>
      <c r="E44" s="59" t="s">
        <v>127</v>
      </c>
      <c r="F44" s="46" t="s">
        <v>211</v>
      </c>
      <c r="G44" s="4" t="s">
        <v>38</v>
      </c>
      <c r="H44" s="46" t="s">
        <v>191</v>
      </c>
      <c r="I44" s="46" t="s">
        <v>177</v>
      </c>
      <c r="J44" s="788" t="s">
        <v>184</v>
      </c>
      <c r="K44" s="59" t="s">
        <v>183</v>
      </c>
      <c r="L44" s="9">
        <v>0.22</v>
      </c>
      <c r="M44" s="168">
        <v>0</v>
      </c>
      <c r="N44" s="47">
        <v>0.05</v>
      </c>
      <c r="O44" s="13">
        <v>7.0000000000000007E-2</v>
      </c>
      <c r="P44" s="123">
        <f>+(O44-M44)/(N44-M44)</f>
        <v>1.4000000000000001</v>
      </c>
      <c r="Q44" s="158">
        <v>0.09</v>
      </c>
      <c r="R44" s="48">
        <v>0.09</v>
      </c>
      <c r="S44" s="15">
        <v>0.105</v>
      </c>
      <c r="T44" s="22">
        <v>0.105</v>
      </c>
      <c r="U44" s="30">
        <f>+(S44-M44)/(Q44-M44)</f>
        <v>1.1666666666666667</v>
      </c>
      <c r="V44" s="30">
        <f>+(T44-M44)/(L44-M44)</f>
        <v>0.47727272727272724</v>
      </c>
      <c r="W44" s="181">
        <v>0.15</v>
      </c>
      <c r="X44" s="34">
        <v>0.15</v>
      </c>
      <c r="Y44" s="40">
        <v>0.14000000000000001</v>
      </c>
      <c r="Z44" s="40">
        <v>0.14000000000000001</v>
      </c>
      <c r="AA44" s="281">
        <f>+(Y44-M44)/(W44-M44)</f>
        <v>0.93333333333333346</v>
      </c>
      <c r="AB44" s="30">
        <f>+(Z44-M44)/(X44-M44)</f>
        <v>0.93333333333333346</v>
      </c>
      <c r="AC44" s="123" t="s">
        <v>115</v>
      </c>
      <c r="AD44" s="252">
        <v>0.22</v>
      </c>
      <c r="AE44" s="241">
        <f>+L44</f>
        <v>0.22</v>
      </c>
      <c r="AF44" s="174">
        <v>0.18</v>
      </c>
      <c r="AG44" s="174">
        <f>+AF44</f>
        <v>0.18</v>
      </c>
      <c r="AH44" s="462">
        <f>+(AF44-M44)/(AD44-M44)</f>
        <v>0.81818181818181812</v>
      </c>
      <c r="AI44" s="30">
        <f>+(AF44-M44)/(AE44-M44)</f>
        <v>0.81818181818181812</v>
      </c>
      <c r="AJ44" s="168">
        <f t="shared" si="21"/>
        <v>0.81818181818181812</v>
      </c>
      <c r="AK44" s="70" t="s">
        <v>447</v>
      </c>
      <c r="AL44" s="270"/>
      <c r="AM44" s="174"/>
    </row>
    <row r="45" spans="1:44" ht="105" x14ac:dyDescent="0.25">
      <c r="A45" s="446" t="s">
        <v>380</v>
      </c>
      <c r="B45" s="577" t="s">
        <v>39</v>
      </c>
      <c r="C45" s="369" t="s">
        <v>111</v>
      </c>
      <c r="D45" s="46" t="s">
        <v>101</v>
      </c>
      <c r="E45" s="59" t="s">
        <v>127</v>
      </c>
      <c r="F45" s="46" t="s">
        <v>211</v>
      </c>
      <c r="G45" s="4" t="s">
        <v>39</v>
      </c>
      <c r="H45" s="46" t="s">
        <v>175</v>
      </c>
      <c r="I45" s="46" t="s">
        <v>177</v>
      </c>
      <c r="J45" s="788" t="s">
        <v>188</v>
      </c>
      <c r="K45" s="59" t="s">
        <v>198</v>
      </c>
      <c r="L45" s="29">
        <v>8000</v>
      </c>
      <c r="M45" s="202">
        <v>5703</v>
      </c>
      <c r="N45" s="49">
        <v>1000</v>
      </c>
      <c r="O45" s="27">
        <v>1263</v>
      </c>
      <c r="P45" s="123">
        <f>+O45/N45</f>
        <v>1.2629999999999999</v>
      </c>
      <c r="Q45" s="372">
        <v>2335</v>
      </c>
      <c r="R45" s="55">
        <f>+N45+Q45</f>
        <v>3335</v>
      </c>
      <c r="S45" s="29">
        <v>3713</v>
      </c>
      <c r="T45" s="27">
        <f>+S45+O45</f>
        <v>4976</v>
      </c>
      <c r="U45" s="30">
        <f>+S45/Q45</f>
        <v>1.5901498929336189</v>
      </c>
      <c r="V45" s="123">
        <f>+T45/$R45</f>
        <v>1.4920539730134932</v>
      </c>
      <c r="W45" s="373">
        <v>2367</v>
      </c>
      <c r="X45" s="27">
        <f>+R45+W45</f>
        <v>5702</v>
      </c>
      <c r="Y45" s="66">
        <v>2365</v>
      </c>
      <c r="Z45" s="66">
        <f>+T45+Y45</f>
        <v>7341</v>
      </c>
      <c r="AA45" s="30">
        <f>+Y45/W45</f>
        <v>0.99915504858470638</v>
      </c>
      <c r="AB45" s="30">
        <f>+Z45/$X45</f>
        <v>1.2874430024552788</v>
      </c>
      <c r="AC45" s="123" t="s">
        <v>115</v>
      </c>
      <c r="AD45" s="254">
        <v>2298</v>
      </c>
      <c r="AE45" s="35">
        <f>+X45+AD45</f>
        <v>8000</v>
      </c>
      <c r="AF45" s="165">
        <v>1905</v>
      </c>
      <c r="AG45" s="165">
        <f>+Z45+AF45</f>
        <v>9246</v>
      </c>
      <c r="AH45" s="30">
        <f>+AF45/AD45</f>
        <v>0.82898172323759789</v>
      </c>
      <c r="AI45" s="463">
        <f>+AG45/AE45</f>
        <v>1.1557500000000001</v>
      </c>
      <c r="AJ45" s="168">
        <f t="shared" si="21"/>
        <v>1.1557500000000001</v>
      </c>
      <c r="AK45" s="70" t="s">
        <v>447</v>
      </c>
      <c r="AL45" s="270"/>
      <c r="AM45" s="165"/>
    </row>
    <row r="46" spans="1:44" ht="165" x14ac:dyDescent="0.25">
      <c r="A46" s="446" t="s">
        <v>381</v>
      </c>
      <c r="B46" s="578" t="s">
        <v>40</v>
      </c>
      <c r="C46" s="367" t="s">
        <v>111</v>
      </c>
      <c r="D46" s="46" t="s">
        <v>101</v>
      </c>
      <c r="E46" s="59" t="s">
        <v>127</v>
      </c>
      <c r="F46" s="46" t="s">
        <v>211</v>
      </c>
      <c r="G46" s="4" t="s">
        <v>40</v>
      </c>
      <c r="H46" s="46" t="s">
        <v>191</v>
      </c>
      <c r="I46" s="46" t="s">
        <v>177</v>
      </c>
      <c r="J46" s="788" t="s">
        <v>190</v>
      </c>
      <c r="K46" s="59" t="s">
        <v>183</v>
      </c>
      <c r="L46" s="189">
        <v>0.12</v>
      </c>
      <c r="M46" s="201">
        <v>9.4E-2</v>
      </c>
      <c r="N46" s="47">
        <v>0.10050000000000001</v>
      </c>
      <c r="O46" s="13">
        <v>9.0999999999999998E-2</v>
      </c>
      <c r="P46" s="123">
        <f>+O46/N46</f>
        <v>0.90547263681592027</v>
      </c>
      <c r="Q46" s="158">
        <v>0.1069</v>
      </c>
      <c r="R46" s="48">
        <v>0.1069</v>
      </c>
      <c r="S46" s="13">
        <v>0.10050000000000001</v>
      </c>
      <c r="T46" s="13">
        <v>0.10050000000000001</v>
      </c>
      <c r="U46" s="437">
        <f>+S46/Q46</f>
        <v>0.94013096351730596</v>
      </c>
      <c r="V46" s="442">
        <f>+T46/$R46</f>
        <v>0.94013096351730596</v>
      </c>
      <c r="W46" s="125">
        <v>0.1132</v>
      </c>
      <c r="X46" s="34">
        <v>0.1132</v>
      </c>
      <c r="Y46" s="457">
        <f>+S46</f>
        <v>0.10050000000000001</v>
      </c>
      <c r="Z46" s="457">
        <f>+Y46</f>
        <v>0.10050000000000001</v>
      </c>
      <c r="AA46" s="30">
        <f>+Y46/W46</f>
        <v>0.88780918727915203</v>
      </c>
      <c r="AB46" s="30">
        <f>+Z46/$X46</f>
        <v>0.88780918727915203</v>
      </c>
      <c r="AC46" s="123" t="s">
        <v>311</v>
      </c>
      <c r="AD46" s="256">
        <v>0.12</v>
      </c>
      <c r="AE46" s="243">
        <f t="shared" ref="AE46:AE57" si="22">+L46</f>
        <v>0.12</v>
      </c>
      <c r="AF46" s="370">
        <f>+Z46</f>
        <v>0.10050000000000001</v>
      </c>
      <c r="AG46" s="370">
        <f>+AF46</f>
        <v>0.10050000000000001</v>
      </c>
      <c r="AH46" s="462">
        <f>+AF46/AD46</f>
        <v>0.83750000000000013</v>
      </c>
      <c r="AI46" s="30">
        <f>+AG46/AE46</f>
        <v>0.83750000000000013</v>
      </c>
      <c r="AJ46" s="168">
        <f t="shared" si="21"/>
        <v>0.83750000000000013</v>
      </c>
      <c r="AK46" s="70" t="s">
        <v>376</v>
      </c>
      <c r="AL46" s="270"/>
      <c r="AM46" s="171"/>
    </row>
    <row r="47" spans="1:44" ht="90" x14ac:dyDescent="0.25">
      <c r="A47" s="446"/>
      <c r="B47" s="579" t="s">
        <v>41</v>
      </c>
      <c r="C47" s="369" t="s">
        <v>111</v>
      </c>
      <c r="D47" s="46" t="s">
        <v>101</v>
      </c>
      <c r="E47" s="59" t="s">
        <v>130</v>
      </c>
      <c r="F47" s="46" t="s">
        <v>212</v>
      </c>
      <c r="G47" s="455" t="s">
        <v>41</v>
      </c>
      <c r="H47" s="46" t="s">
        <v>175</v>
      </c>
      <c r="I47" s="59" t="s">
        <v>199</v>
      </c>
      <c r="J47" s="788" t="s">
        <v>184</v>
      </c>
      <c r="K47" s="59" t="s">
        <v>200</v>
      </c>
      <c r="L47" s="29">
        <v>4350</v>
      </c>
      <c r="M47" s="200">
        <v>2889</v>
      </c>
      <c r="N47" s="49">
        <v>3400</v>
      </c>
      <c r="O47" s="16">
        <v>3842</v>
      </c>
      <c r="P47" s="123">
        <f>+O47/N47</f>
        <v>1.1299999999999999</v>
      </c>
      <c r="Q47" s="160">
        <v>3700</v>
      </c>
      <c r="R47" s="233">
        <v>3700</v>
      </c>
      <c r="S47" s="760">
        <v>4128</v>
      </c>
      <c r="T47" s="29">
        <f>+S47</f>
        <v>4128</v>
      </c>
      <c r="U47" s="30">
        <f>+S47/Q47</f>
        <v>1.1156756756756756</v>
      </c>
      <c r="V47" s="30">
        <f>+(T47-M47)/(L47-M47)</f>
        <v>0.84804928131416835</v>
      </c>
      <c r="W47" s="161">
        <v>4000</v>
      </c>
      <c r="X47" s="36">
        <v>4000</v>
      </c>
      <c r="Y47" s="107">
        <v>4059</v>
      </c>
      <c r="Z47" s="107">
        <v>4059</v>
      </c>
      <c r="AA47" s="281">
        <f>+Y47/W47</f>
        <v>1.01475</v>
      </c>
      <c r="AB47" s="30">
        <f>+Z47/$X47</f>
        <v>1.01475</v>
      </c>
      <c r="AC47" s="123" t="s">
        <v>115</v>
      </c>
      <c r="AD47" s="255">
        <v>4350</v>
      </c>
      <c r="AE47" s="35">
        <f t="shared" si="22"/>
        <v>4350</v>
      </c>
      <c r="AF47" s="165">
        <v>4138</v>
      </c>
      <c r="AG47" s="165">
        <f>+AF47</f>
        <v>4138</v>
      </c>
      <c r="AH47" s="463">
        <f>+AF47/AD47</f>
        <v>0.95126436781609192</v>
      </c>
      <c r="AI47" s="30">
        <f>+(AG47-M47)/(L47-M47)</f>
        <v>0.85489390828199863</v>
      </c>
      <c r="AJ47" s="168">
        <f t="shared" si="21"/>
        <v>0.85489390828199863</v>
      </c>
      <c r="AK47" s="745" t="s">
        <v>455</v>
      </c>
      <c r="AL47" s="270"/>
      <c r="AM47" s="165"/>
    </row>
    <row r="48" spans="1:44" ht="45" x14ac:dyDescent="0.25">
      <c r="A48" s="446"/>
      <c r="B48" s="579" t="s">
        <v>42</v>
      </c>
      <c r="C48" s="369" t="s">
        <v>111</v>
      </c>
      <c r="D48" s="46" t="s">
        <v>101</v>
      </c>
      <c r="E48" s="59" t="s">
        <v>127</v>
      </c>
      <c r="F48" s="46" t="s">
        <v>212</v>
      </c>
      <c r="G48" s="455" t="s">
        <v>42</v>
      </c>
      <c r="H48" s="46" t="s">
        <v>185</v>
      </c>
      <c r="I48" s="46" t="s">
        <v>177</v>
      </c>
      <c r="J48" s="788" t="s">
        <v>184</v>
      </c>
      <c r="K48" s="59" t="s">
        <v>201</v>
      </c>
      <c r="L48" s="10">
        <v>5.6090000000000001E-2</v>
      </c>
      <c r="M48" s="168">
        <v>5.0700000000000002E-2</v>
      </c>
      <c r="N48" s="47">
        <v>5.0709999999999998E-2</v>
      </c>
      <c r="O48" s="32">
        <v>5.4199999999999998E-2</v>
      </c>
      <c r="P48" s="123">
        <f>+(O48-M48)/(N48-M48)</f>
        <v>350.00000000013529</v>
      </c>
      <c r="Q48" s="158">
        <v>5.2449999999999997E-2</v>
      </c>
      <c r="R48" s="48">
        <v>5.2449999999999997E-2</v>
      </c>
      <c r="S48" s="13">
        <v>5.6500000000000002E-2</v>
      </c>
      <c r="T48" s="13">
        <v>5.6500000000000002E-2</v>
      </c>
      <c r="U48" s="30">
        <f>+(S48-M48)/(Q48-M48)</f>
        <v>3.3142857142857243</v>
      </c>
      <c r="V48" s="30">
        <f>+(T48-M48)/(L48-M48)</f>
        <v>1.0760667903525047</v>
      </c>
      <c r="W48" s="181">
        <v>5.3999999999999999E-2</v>
      </c>
      <c r="X48" s="34">
        <v>5.3999999999999999E-2</v>
      </c>
      <c r="Y48" s="44">
        <v>5.67E-2</v>
      </c>
      <c r="Z48" s="44">
        <v>5.67E-2</v>
      </c>
      <c r="AA48" s="281">
        <f>+(Y48-M48)/(W48-M48)</f>
        <v>1.8181818181818192</v>
      </c>
      <c r="AB48" s="281">
        <f>+(Z48-M48)/(L48-M48)</f>
        <v>1.1131725417439702</v>
      </c>
      <c r="AC48" s="123" t="s">
        <v>115</v>
      </c>
      <c r="AD48" s="252">
        <v>5.6099999999999997E-2</v>
      </c>
      <c r="AE48" s="243">
        <f t="shared" si="22"/>
        <v>5.6090000000000001E-2</v>
      </c>
      <c r="AF48" s="171">
        <f>+Y48</f>
        <v>5.67E-2</v>
      </c>
      <c r="AG48" s="171">
        <f>+AF48</f>
        <v>5.67E-2</v>
      </c>
      <c r="AH48" s="462">
        <f>+(AF48-M48)/(AD48-M48)</f>
        <v>1.1111111111111118</v>
      </c>
      <c r="AI48" s="281">
        <f>+(AG48-M48)/(AE48-M48)</f>
        <v>1.1131725417439702</v>
      </c>
      <c r="AJ48" s="168">
        <f t="shared" si="21"/>
        <v>1.1131725417439702</v>
      </c>
      <c r="AK48" s="70" t="s">
        <v>447</v>
      </c>
      <c r="AL48" s="270"/>
      <c r="AM48" s="171"/>
    </row>
    <row r="49" spans="1:39" ht="60" x14ac:dyDescent="0.25">
      <c r="B49" s="576" t="s">
        <v>43</v>
      </c>
      <c r="C49" s="196" t="s">
        <v>111</v>
      </c>
      <c r="D49" s="46" t="s">
        <v>101</v>
      </c>
      <c r="E49" s="59" t="s">
        <v>127</v>
      </c>
      <c r="F49" s="46" t="s">
        <v>212</v>
      </c>
      <c r="G49" s="455" t="s">
        <v>43</v>
      </c>
      <c r="H49" s="46" t="s">
        <v>185</v>
      </c>
      <c r="I49" s="46" t="s">
        <v>177</v>
      </c>
      <c r="J49" s="788" t="s">
        <v>184</v>
      </c>
      <c r="K49" s="59" t="s">
        <v>202</v>
      </c>
      <c r="L49" s="29">
        <v>2720</v>
      </c>
      <c r="M49" s="200">
        <v>2012</v>
      </c>
      <c r="N49" s="49">
        <v>2109</v>
      </c>
      <c r="O49" s="29">
        <v>2027</v>
      </c>
      <c r="P49" s="123">
        <f>+(O49-M49)/(N49-M49)</f>
        <v>0.15463917525773196</v>
      </c>
      <c r="Q49" s="160">
        <v>2230</v>
      </c>
      <c r="R49" s="233">
        <v>2230</v>
      </c>
      <c r="S49" s="29">
        <v>2477</v>
      </c>
      <c r="T49" s="27">
        <v>2477</v>
      </c>
      <c r="U49" s="30">
        <f>+(S49-M49)/(Q49-M49)</f>
        <v>2.1330275229357798</v>
      </c>
      <c r="V49" s="30">
        <f>+(T49-M49)/(L49-M49)</f>
        <v>0.65677966101694918</v>
      </c>
      <c r="W49" s="161">
        <v>2545</v>
      </c>
      <c r="X49" s="36">
        <v>2545</v>
      </c>
      <c r="Y49" s="55">
        <v>2808</v>
      </c>
      <c r="Z49" s="55">
        <v>2808</v>
      </c>
      <c r="AA49" s="281">
        <f>+(Y49-M49)/(W49-M49)</f>
        <v>1.4934333958724202</v>
      </c>
      <c r="AB49" s="281">
        <f>+(Z49-M49)/(L49-M49)</f>
        <v>1.1242937853107344</v>
      </c>
      <c r="AC49" s="123" t="s">
        <v>115</v>
      </c>
      <c r="AD49" s="255">
        <v>2720</v>
      </c>
      <c r="AE49" s="35">
        <f t="shared" si="22"/>
        <v>2720</v>
      </c>
      <c r="AF49" s="447">
        <f>+Y49</f>
        <v>2808</v>
      </c>
      <c r="AG49" s="447">
        <v>2808</v>
      </c>
      <c r="AH49" s="462">
        <f>+(AF49-M49)/(AD49-M49)</f>
        <v>1.1242937853107344</v>
      </c>
      <c r="AI49" s="281">
        <f>+(AG49-M49)/(AE49-M49)</f>
        <v>1.1242937853107344</v>
      </c>
      <c r="AJ49" s="168">
        <f t="shared" si="21"/>
        <v>1.1242937853107344</v>
      </c>
      <c r="AK49" s="70" t="s">
        <v>453</v>
      </c>
      <c r="AL49" s="270"/>
      <c r="AM49" s="165"/>
    </row>
    <row r="50" spans="1:39" ht="120" x14ac:dyDescent="0.25">
      <c r="B50" s="576" t="s">
        <v>44</v>
      </c>
      <c r="C50" s="196" t="s">
        <v>111</v>
      </c>
      <c r="D50" s="46" t="s">
        <v>101</v>
      </c>
      <c r="E50" s="59" t="s">
        <v>129</v>
      </c>
      <c r="F50" s="46" t="s">
        <v>212</v>
      </c>
      <c r="G50" s="455" t="s">
        <v>44</v>
      </c>
      <c r="H50" s="46" t="s">
        <v>175</v>
      </c>
      <c r="I50" s="46" t="s">
        <v>178</v>
      </c>
      <c r="J50" s="788" t="s">
        <v>184</v>
      </c>
      <c r="K50" s="59" t="s">
        <v>193</v>
      </c>
      <c r="L50" s="29">
        <v>1500000</v>
      </c>
      <c r="M50" s="200">
        <v>0</v>
      </c>
      <c r="N50" s="49">
        <v>305516</v>
      </c>
      <c r="O50" s="29">
        <v>316895</v>
      </c>
      <c r="P50" s="123">
        <f>+(O50-M50)/(N50-M50)</f>
        <v>1.0372451851948834</v>
      </c>
      <c r="Q50" s="160">
        <v>687411</v>
      </c>
      <c r="R50" s="144">
        <v>687411</v>
      </c>
      <c r="S50" s="29">
        <v>512169</v>
      </c>
      <c r="T50" s="439">
        <v>512169</v>
      </c>
      <c r="U50" s="30">
        <f>+(S50-M50)/(Q50-M50)</f>
        <v>0.745069543548183</v>
      </c>
      <c r="V50" s="30">
        <f>+(T50-M50)/(L50-M50)</f>
        <v>0.34144600000000003</v>
      </c>
      <c r="W50" s="161">
        <v>1000000</v>
      </c>
      <c r="X50" s="36">
        <v>1000000</v>
      </c>
      <c r="Y50" s="94">
        <v>730411</v>
      </c>
      <c r="Z50" s="374">
        <v>730411</v>
      </c>
      <c r="AA50" s="281">
        <f>+(Y50-M50)/(W50-M50)</f>
        <v>0.73041100000000003</v>
      </c>
      <c r="AB50" s="281">
        <f>+(Z50-M50)/(L50-M50)</f>
        <v>0.48694066666666669</v>
      </c>
      <c r="AC50" s="123" t="s">
        <v>115</v>
      </c>
      <c r="AD50" s="255">
        <v>1500000</v>
      </c>
      <c r="AE50" s="35">
        <f t="shared" si="22"/>
        <v>1500000</v>
      </c>
      <c r="AF50" s="751">
        <v>992888</v>
      </c>
      <c r="AG50" s="165">
        <f>+AF50</f>
        <v>992888</v>
      </c>
      <c r="AH50" s="462">
        <f>+(AF50-M50)/(AD50-M50)</f>
        <v>0.66192533333333337</v>
      </c>
      <c r="AI50" s="281">
        <f>+(AG50-M50)/(AE50-M50)</f>
        <v>0.66192533333333337</v>
      </c>
      <c r="AJ50" s="168">
        <f>+AI50</f>
        <v>0.66192533333333337</v>
      </c>
      <c r="AK50" s="453" t="s">
        <v>454</v>
      </c>
      <c r="AL50" s="270" t="s">
        <v>148</v>
      </c>
      <c r="AM50" s="165"/>
    </row>
    <row r="51" spans="1:39" ht="45" x14ac:dyDescent="0.25">
      <c r="B51" s="576" t="s">
        <v>45</v>
      </c>
      <c r="C51" s="197" t="s">
        <v>112</v>
      </c>
      <c r="D51" s="46" t="s">
        <v>99</v>
      </c>
      <c r="E51" s="59" t="s">
        <v>131</v>
      </c>
      <c r="F51" s="46" t="s">
        <v>212</v>
      </c>
      <c r="G51" s="455" t="s">
        <v>45</v>
      </c>
      <c r="H51" s="46" t="s">
        <v>185</v>
      </c>
      <c r="I51" s="46" t="s">
        <v>177</v>
      </c>
      <c r="J51" s="788" t="s">
        <v>184</v>
      </c>
      <c r="K51" s="59" t="s">
        <v>186</v>
      </c>
      <c r="L51" s="32">
        <v>0.2</v>
      </c>
      <c r="M51" s="203">
        <v>0.14899999999999999</v>
      </c>
      <c r="N51" s="47">
        <v>0.16</v>
      </c>
      <c r="O51" s="32">
        <v>0.157</v>
      </c>
      <c r="P51" s="123">
        <f>+(O51-M51)/(N51-M51)</f>
        <v>0.72727272727272729</v>
      </c>
      <c r="Q51" s="181">
        <v>0.17299999999999999</v>
      </c>
      <c r="R51" s="48">
        <v>0.17299999999999999</v>
      </c>
      <c r="S51" s="32">
        <v>0.16900000000000001</v>
      </c>
      <c r="T51" s="32">
        <v>0.16900000000000001</v>
      </c>
      <c r="U51" s="30">
        <f>+(S51-M51)/(Q51-M51)</f>
        <v>0.83333333333333426</v>
      </c>
      <c r="V51" s="30">
        <f>+(T51-M51)/(L51-M51)</f>
        <v>0.39215686274509826</v>
      </c>
      <c r="W51" s="181">
        <v>0.187</v>
      </c>
      <c r="X51" s="34">
        <v>0.187</v>
      </c>
      <c r="Y51" s="40">
        <v>0.191</v>
      </c>
      <c r="Z51" s="40">
        <v>0.191</v>
      </c>
      <c r="AA51" s="281">
        <f>+(Y51-M51)/(W51-M51)</f>
        <v>1.1052631578947369</v>
      </c>
      <c r="AB51" s="281">
        <f>+(Z51-M51)/(L51-M51)</f>
        <v>0.82352941176470573</v>
      </c>
      <c r="AC51" s="123" t="s">
        <v>115</v>
      </c>
      <c r="AD51" s="259">
        <v>0.2</v>
      </c>
      <c r="AE51" s="33">
        <f t="shared" si="22"/>
        <v>0.2</v>
      </c>
      <c r="AF51" s="370">
        <f>+Y51</f>
        <v>0.191</v>
      </c>
      <c r="AG51" s="370">
        <f>+AF51</f>
        <v>0.191</v>
      </c>
      <c r="AH51" s="462">
        <f>+(AF51-M51)/(AD51-M51)</f>
        <v>0.82352941176470573</v>
      </c>
      <c r="AI51" s="281">
        <f>+(AG51-M51)/(AE51-M51)</f>
        <v>0.82352941176470573</v>
      </c>
      <c r="AJ51" s="168">
        <f t="shared" si="21"/>
        <v>0.82352941176470573</v>
      </c>
      <c r="AK51" s="70" t="s">
        <v>375</v>
      </c>
      <c r="AL51" s="270"/>
      <c r="AM51" s="168"/>
    </row>
    <row r="52" spans="1:39" ht="45" x14ac:dyDescent="0.25">
      <c r="B52" s="474" t="s">
        <v>46</v>
      </c>
      <c r="C52" s="369" t="s">
        <v>112</v>
      </c>
      <c r="D52" s="46" t="s">
        <v>281</v>
      </c>
      <c r="E52" s="59" t="s">
        <v>132</v>
      </c>
      <c r="F52" s="46" t="s">
        <v>211</v>
      </c>
      <c r="G52" s="4" t="s">
        <v>46</v>
      </c>
      <c r="H52" s="46" t="s">
        <v>175</v>
      </c>
      <c r="I52" s="46" t="s">
        <v>203</v>
      </c>
      <c r="J52" s="788" t="s">
        <v>190</v>
      </c>
      <c r="K52" s="59" t="s">
        <v>183</v>
      </c>
      <c r="L52" s="32">
        <v>0.9</v>
      </c>
      <c r="M52" s="168">
        <v>0.68</v>
      </c>
      <c r="N52" s="47">
        <v>0.7</v>
      </c>
      <c r="O52" s="32">
        <v>0.74099999999999999</v>
      </c>
      <c r="P52" s="249">
        <f>+O52/N52</f>
        <v>1.0585714285714287</v>
      </c>
      <c r="Q52" s="181">
        <v>0.76</v>
      </c>
      <c r="R52" s="48">
        <v>0.76</v>
      </c>
      <c r="S52" s="32">
        <v>0.78300000000000003</v>
      </c>
      <c r="T52" s="32">
        <v>0.78300000000000003</v>
      </c>
      <c r="U52" s="30">
        <f>+S52/Q52</f>
        <v>1.0302631578947368</v>
      </c>
      <c r="V52" s="30">
        <f>+T52/R52</f>
        <v>1.0302631578947368</v>
      </c>
      <c r="W52" s="181">
        <v>0.83</v>
      </c>
      <c r="X52" s="34">
        <v>0.83</v>
      </c>
      <c r="Y52" s="44">
        <v>0.62629999999999997</v>
      </c>
      <c r="Z52" s="44">
        <v>0.62629999999999997</v>
      </c>
      <c r="AA52" s="281">
        <f>+Y52/W52</f>
        <v>0.75457831325301206</v>
      </c>
      <c r="AB52" s="30">
        <f>+Z52/X52</f>
        <v>0.75457831325301206</v>
      </c>
      <c r="AC52" s="123" t="s">
        <v>115</v>
      </c>
      <c r="AD52" s="260">
        <v>0.9</v>
      </c>
      <c r="AE52" s="33">
        <f t="shared" si="22"/>
        <v>0.9</v>
      </c>
      <c r="AF52" s="168">
        <v>0.62050000000000005</v>
      </c>
      <c r="AG52" s="168">
        <f>+AF52</f>
        <v>0.62050000000000005</v>
      </c>
      <c r="AH52" s="462">
        <f>+AF52/AD52</f>
        <v>0.68944444444444453</v>
      </c>
      <c r="AI52" s="30">
        <f>+AG52/AE52</f>
        <v>0.68944444444444453</v>
      </c>
      <c r="AJ52" s="168">
        <f t="shared" si="21"/>
        <v>0.68944444444444453</v>
      </c>
      <c r="AK52" s="72" t="s">
        <v>433</v>
      </c>
      <c r="AL52" s="270"/>
      <c r="AM52" s="168"/>
    </row>
    <row r="53" spans="1:39" ht="120" x14ac:dyDescent="0.25">
      <c r="B53" s="576" t="s">
        <v>47</v>
      </c>
      <c r="C53" s="197" t="s">
        <v>112</v>
      </c>
      <c r="D53" s="46" t="s">
        <v>99</v>
      </c>
      <c r="E53" s="59" t="s">
        <v>133</v>
      </c>
      <c r="F53" s="46" t="s">
        <v>211</v>
      </c>
      <c r="G53" s="4" t="s">
        <v>47</v>
      </c>
      <c r="H53" s="46" t="s">
        <v>175</v>
      </c>
      <c r="I53" s="46" t="s">
        <v>180</v>
      </c>
      <c r="J53" s="788" t="s">
        <v>184</v>
      </c>
      <c r="K53" s="59" t="s">
        <v>193</v>
      </c>
      <c r="L53" s="29">
        <v>2000</v>
      </c>
      <c r="M53" s="200">
        <v>117</v>
      </c>
      <c r="N53" s="49">
        <v>250</v>
      </c>
      <c r="O53" s="16">
        <v>246</v>
      </c>
      <c r="P53" s="123">
        <f>+(O53-M53)/(N53-M53)</f>
        <v>0.96992481203007519</v>
      </c>
      <c r="Q53" s="161">
        <v>500</v>
      </c>
      <c r="R53" s="82">
        <v>500</v>
      </c>
      <c r="S53" s="29">
        <v>441</v>
      </c>
      <c r="T53" s="16">
        <v>441</v>
      </c>
      <c r="U53" s="30">
        <f>+(S53-M53)/(Q53-M53)</f>
        <v>0.84595300261096606</v>
      </c>
      <c r="V53" s="30">
        <f>+(T53-M53)/(L53-M53)</f>
        <v>0.17206585236325014</v>
      </c>
      <c r="W53" s="161">
        <v>1000</v>
      </c>
      <c r="X53" s="36">
        <v>1000</v>
      </c>
      <c r="Y53" s="63">
        <v>814</v>
      </c>
      <c r="Z53" s="63">
        <f>+Y53</f>
        <v>814</v>
      </c>
      <c r="AA53" s="281">
        <f>+(Y53-M53)/(W53-M53)</f>
        <v>0.78935447338618348</v>
      </c>
      <c r="AB53" s="281">
        <f>+(Z53-M53)/(L53-M53)</f>
        <v>0.37015400955921401</v>
      </c>
      <c r="AC53" s="123" t="s">
        <v>120</v>
      </c>
      <c r="AD53" s="255">
        <v>2000</v>
      </c>
      <c r="AE53" s="35">
        <f t="shared" si="22"/>
        <v>2000</v>
      </c>
      <c r="AF53" s="758">
        <v>858</v>
      </c>
      <c r="AG53" s="165">
        <f>+Z53</f>
        <v>814</v>
      </c>
      <c r="AH53" s="462">
        <f>+(AF53-M53)/(AD53-M53)</f>
        <v>0.39352097716409984</v>
      </c>
      <c r="AI53" s="281">
        <f>+(AG53-M53)/(AE53-M53)</f>
        <v>0.37015400955921401</v>
      </c>
      <c r="AJ53" s="168">
        <f t="shared" si="21"/>
        <v>0.37015400955921401</v>
      </c>
      <c r="AK53" s="73" t="s">
        <v>439</v>
      </c>
      <c r="AL53" s="273"/>
      <c r="AM53" s="165"/>
    </row>
    <row r="54" spans="1:39" ht="60" x14ac:dyDescent="0.25">
      <c r="A54" s="446"/>
      <c r="B54" s="579" t="s">
        <v>48</v>
      </c>
      <c r="C54" s="588" t="s">
        <v>112</v>
      </c>
      <c r="D54" s="46" t="s">
        <v>99</v>
      </c>
      <c r="E54" s="59" t="s">
        <v>134</v>
      </c>
      <c r="F54" s="46" t="s">
        <v>211</v>
      </c>
      <c r="G54" s="4" t="s">
        <v>48</v>
      </c>
      <c r="H54" s="46" t="s">
        <v>191</v>
      </c>
      <c r="I54" s="46" t="s">
        <v>178</v>
      </c>
      <c r="J54" s="788" t="s">
        <v>184</v>
      </c>
      <c r="K54" s="59" t="s">
        <v>183</v>
      </c>
      <c r="L54" s="13">
        <v>0.9</v>
      </c>
      <c r="M54" s="168">
        <v>0.16500000000000001</v>
      </c>
      <c r="N54" s="50">
        <v>0.25</v>
      </c>
      <c r="O54" s="589">
        <v>0.216</v>
      </c>
      <c r="P54" s="123">
        <f>+(O54-M54)/(N54-M54)</f>
        <v>0.6</v>
      </c>
      <c r="Q54" s="159">
        <v>0.4</v>
      </c>
      <c r="R54" s="150">
        <v>0.4</v>
      </c>
      <c r="S54" s="586">
        <v>0.26100000000000001</v>
      </c>
      <c r="T54" s="13">
        <v>0.26100000000000001</v>
      </c>
      <c r="U54" s="30">
        <f>+(S54-M54)/(Q54-M54)</f>
        <v>0.40851063829787232</v>
      </c>
      <c r="V54" s="30">
        <f>+(T54-M54)/(L54-M54)</f>
        <v>0.1306122448979592</v>
      </c>
      <c r="W54" s="159">
        <v>0.6</v>
      </c>
      <c r="X54" s="26">
        <v>0.6</v>
      </c>
      <c r="Y54" s="589">
        <v>0.53129999999999999</v>
      </c>
      <c r="Z54" s="13">
        <v>0.53129999999999999</v>
      </c>
      <c r="AA54" s="281">
        <f>+(Y54-M54)/(W54-M54)</f>
        <v>0.84206896551724142</v>
      </c>
      <c r="AB54" s="30">
        <f>+(Z54-M54)/(L54-M54)</f>
        <v>0.49836734693877549</v>
      </c>
      <c r="AC54" s="123" t="s">
        <v>115</v>
      </c>
      <c r="AD54" s="261">
        <v>0.9</v>
      </c>
      <c r="AE54" s="26">
        <f t="shared" si="22"/>
        <v>0.9</v>
      </c>
      <c r="AF54" s="167">
        <v>0.6</v>
      </c>
      <c r="AG54" s="167">
        <f>+AF54</f>
        <v>0.6</v>
      </c>
      <c r="AH54" s="463">
        <f>+(AF54-M54)/(AD54-M54)</f>
        <v>0.59183673469387743</v>
      </c>
      <c r="AI54" s="30">
        <f>+(AG54-M54)/(L54-M54)</f>
        <v>0.59183673469387743</v>
      </c>
      <c r="AJ54" s="168">
        <f t="shared" si="21"/>
        <v>0.59183673469387743</v>
      </c>
      <c r="AK54" s="74" t="s">
        <v>433</v>
      </c>
      <c r="AL54" s="270"/>
      <c r="AM54" s="167"/>
    </row>
    <row r="55" spans="1:39" ht="120" x14ac:dyDescent="0.25">
      <c r="A55" s="446"/>
      <c r="B55" s="578" t="s">
        <v>49</v>
      </c>
      <c r="C55" s="369" t="s">
        <v>112</v>
      </c>
      <c r="D55" s="46" t="s">
        <v>99</v>
      </c>
      <c r="E55" s="59" t="s">
        <v>131</v>
      </c>
      <c r="F55" s="46" t="s">
        <v>211</v>
      </c>
      <c r="G55" s="4" t="s">
        <v>49</v>
      </c>
      <c r="H55" s="46" t="s">
        <v>185</v>
      </c>
      <c r="I55" s="46" t="s">
        <v>177</v>
      </c>
      <c r="J55" s="788" t="s">
        <v>190</v>
      </c>
      <c r="K55" s="59" t="s">
        <v>183</v>
      </c>
      <c r="L55" s="13">
        <v>0.13200000000000001</v>
      </c>
      <c r="M55" s="168">
        <v>3.4000000000000002E-2</v>
      </c>
      <c r="N55" s="47">
        <v>0.04</v>
      </c>
      <c r="O55" s="13">
        <v>4.7E-2</v>
      </c>
      <c r="P55" s="123">
        <f>+O55/N55</f>
        <v>1.175</v>
      </c>
      <c r="Q55" s="181">
        <v>0.06</v>
      </c>
      <c r="R55" s="48">
        <v>0.06</v>
      </c>
      <c r="S55" s="32">
        <v>2.9000000000000001E-2</v>
      </c>
      <c r="T55" s="14">
        <f>+S55</f>
        <v>2.9000000000000001E-2</v>
      </c>
      <c r="U55" s="30">
        <f>+S55/Q55</f>
        <v>0.48333333333333339</v>
      </c>
      <c r="V55" s="123">
        <f>+T55/$R55</f>
        <v>0.48333333333333339</v>
      </c>
      <c r="W55" s="125">
        <v>0.09</v>
      </c>
      <c r="X55" s="34">
        <v>0.09</v>
      </c>
      <c r="Y55" s="40">
        <v>0.1439</v>
      </c>
      <c r="Z55" s="40">
        <f>+Y55</f>
        <v>0.1439</v>
      </c>
      <c r="AA55" s="30">
        <f>+Y55/W55</f>
        <v>1.598888888888889</v>
      </c>
      <c r="AB55" s="30">
        <f>+Z55/$X55</f>
        <v>1.598888888888889</v>
      </c>
      <c r="AC55" s="123" t="s">
        <v>115</v>
      </c>
      <c r="AD55" s="261">
        <v>0.13200000000000001</v>
      </c>
      <c r="AE55" s="26">
        <f t="shared" si="22"/>
        <v>0.13200000000000001</v>
      </c>
      <c r="AF55" s="445">
        <f t="shared" ref="AF55:AF60" si="23">+Y55</f>
        <v>0.1439</v>
      </c>
      <c r="AG55" s="370">
        <f t="shared" ref="AG55:AG63" si="24">+AF55</f>
        <v>0.1439</v>
      </c>
      <c r="AH55" s="463">
        <f t="shared" ref="AH55:AI58" si="25">+AF55/AD55</f>
        <v>1.0901515151515151</v>
      </c>
      <c r="AI55" s="30">
        <f t="shared" si="25"/>
        <v>1.0901515151515151</v>
      </c>
      <c r="AJ55" s="168">
        <f t="shared" si="21"/>
        <v>1.0901515151515151</v>
      </c>
      <c r="AK55" s="70" t="s">
        <v>449</v>
      </c>
      <c r="AL55" s="270"/>
      <c r="AM55" s="167"/>
    </row>
    <row r="56" spans="1:39" ht="90" x14ac:dyDescent="0.25">
      <c r="A56" s="446" t="s">
        <v>384</v>
      </c>
      <c r="B56" s="578" t="s">
        <v>50</v>
      </c>
      <c r="C56" s="369" t="s">
        <v>112</v>
      </c>
      <c r="D56" s="46" t="s">
        <v>99</v>
      </c>
      <c r="E56" s="59" t="s">
        <v>131</v>
      </c>
      <c r="F56" s="46" t="s">
        <v>211</v>
      </c>
      <c r="G56" s="4" t="s">
        <v>50</v>
      </c>
      <c r="H56" s="46" t="s">
        <v>185</v>
      </c>
      <c r="I56" s="46" t="s">
        <v>177</v>
      </c>
      <c r="J56" s="788" t="s">
        <v>190</v>
      </c>
      <c r="K56" s="59" t="s">
        <v>183</v>
      </c>
      <c r="L56" s="32">
        <v>0.14699999999999999</v>
      </c>
      <c r="M56" s="168">
        <v>9.2999999999999999E-2</v>
      </c>
      <c r="N56" s="47">
        <v>0.105</v>
      </c>
      <c r="O56" s="32">
        <v>0.17</v>
      </c>
      <c r="P56" s="123">
        <f>+O56/N56</f>
        <v>1.6190476190476193</v>
      </c>
      <c r="Q56" s="181">
        <v>0.12</v>
      </c>
      <c r="R56" s="48">
        <v>0.12</v>
      </c>
      <c r="S56" s="32">
        <v>0.128</v>
      </c>
      <c r="T56" s="31">
        <f>+S56</f>
        <v>0.128</v>
      </c>
      <c r="U56" s="30">
        <f>+S56/Q56</f>
        <v>1.0666666666666667</v>
      </c>
      <c r="V56" s="123">
        <f>+T56/$R56</f>
        <v>1.0666666666666667</v>
      </c>
      <c r="W56" s="125">
        <v>0.13</v>
      </c>
      <c r="X56" s="34">
        <v>0.13</v>
      </c>
      <c r="Y56" s="40">
        <v>0.20649999999999999</v>
      </c>
      <c r="Z56" s="40">
        <f>+Y56</f>
        <v>0.20649999999999999</v>
      </c>
      <c r="AA56" s="30">
        <f>+Y56/W56</f>
        <v>1.5884615384615384</v>
      </c>
      <c r="AB56" s="30">
        <f>+Z56/$X56</f>
        <v>1.5884615384615384</v>
      </c>
      <c r="AC56" s="123" t="s">
        <v>115</v>
      </c>
      <c r="AD56" s="261">
        <v>0.14699999999999999</v>
      </c>
      <c r="AE56" s="33">
        <f t="shared" si="22"/>
        <v>0.14699999999999999</v>
      </c>
      <c r="AF56" s="370">
        <f t="shared" si="23"/>
        <v>0.20649999999999999</v>
      </c>
      <c r="AG56" s="370">
        <f t="shared" si="24"/>
        <v>0.20649999999999999</v>
      </c>
      <c r="AH56" s="463">
        <f t="shared" si="25"/>
        <v>1.4047619047619047</v>
      </c>
      <c r="AI56" s="30">
        <f t="shared" si="25"/>
        <v>1.4047619047619047</v>
      </c>
      <c r="AJ56" s="168">
        <f t="shared" si="21"/>
        <v>1.4047619047619047</v>
      </c>
      <c r="AK56" s="745" t="s">
        <v>437</v>
      </c>
      <c r="AL56" s="270"/>
      <c r="AM56" s="168"/>
    </row>
    <row r="57" spans="1:39" ht="105" x14ac:dyDescent="0.25">
      <c r="A57" s="446"/>
      <c r="B57" s="579" t="s">
        <v>51</v>
      </c>
      <c r="C57" s="369" t="s">
        <v>112</v>
      </c>
      <c r="D57" s="46" t="s">
        <v>99</v>
      </c>
      <c r="E57" s="59" t="s">
        <v>131</v>
      </c>
      <c r="F57" s="46" t="s">
        <v>211</v>
      </c>
      <c r="G57" s="455" t="s">
        <v>51</v>
      </c>
      <c r="H57" s="46" t="s">
        <v>185</v>
      </c>
      <c r="I57" s="46" t="s">
        <v>177</v>
      </c>
      <c r="J57" s="788" t="s">
        <v>190</v>
      </c>
      <c r="K57" s="59" t="s">
        <v>183</v>
      </c>
      <c r="L57" s="32">
        <v>0.15</v>
      </c>
      <c r="M57" s="168">
        <v>0.1</v>
      </c>
      <c r="N57" s="47">
        <v>0.112</v>
      </c>
      <c r="O57" s="32">
        <v>0.1</v>
      </c>
      <c r="P57" s="123">
        <f>+O57/N57</f>
        <v>0.8928571428571429</v>
      </c>
      <c r="Q57" s="181">
        <v>0.124</v>
      </c>
      <c r="R57" s="48">
        <v>0.124</v>
      </c>
      <c r="S57" s="30">
        <v>9.11E-2</v>
      </c>
      <c r="T57" s="30">
        <v>9.11E-2</v>
      </c>
      <c r="U57" s="30">
        <f>+S57/Q57</f>
        <v>0.73467741935483877</v>
      </c>
      <c r="V57" s="123">
        <f>+T57/$R57</f>
        <v>0.73467741935483877</v>
      </c>
      <c r="W57" s="125">
        <v>0.13700000000000001</v>
      </c>
      <c r="X57" s="34">
        <v>0.13700000000000001</v>
      </c>
      <c r="Y57" s="40">
        <v>9.0999999999999998E-2</v>
      </c>
      <c r="Z57" s="40">
        <v>9.0999999999999998E-2</v>
      </c>
      <c r="AA57" s="30">
        <f>+Y57/W57</f>
        <v>0.66423357664233573</v>
      </c>
      <c r="AB57" s="30">
        <f>+Z57/$X57</f>
        <v>0.66423357664233573</v>
      </c>
      <c r="AC57" s="123" t="s">
        <v>115</v>
      </c>
      <c r="AD57" s="252">
        <v>0.15</v>
      </c>
      <c r="AE57" s="33">
        <f t="shared" si="22"/>
        <v>0.15</v>
      </c>
      <c r="AF57" s="370">
        <f t="shared" si="23"/>
        <v>9.0999999999999998E-2</v>
      </c>
      <c r="AG57" s="370">
        <f t="shared" si="24"/>
        <v>9.0999999999999998E-2</v>
      </c>
      <c r="AH57" s="463">
        <f t="shared" si="25"/>
        <v>0.60666666666666669</v>
      </c>
      <c r="AI57" s="30">
        <f t="shared" si="25"/>
        <v>0.60666666666666669</v>
      </c>
      <c r="AJ57" s="168">
        <f t="shared" si="21"/>
        <v>0.60666666666666669</v>
      </c>
      <c r="AK57" s="70" t="s">
        <v>444</v>
      </c>
      <c r="AL57" s="270"/>
      <c r="AM57" s="168"/>
    </row>
    <row r="58" spans="1:39" ht="45" x14ac:dyDescent="0.25">
      <c r="B58" s="576" t="s">
        <v>52</v>
      </c>
      <c r="C58" s="197" t="s">
        <v>112</v>
      </c>
      <c r="D58" s="46" t="s">
        <v>99</v>
      </c>
      <c r="E58" s="59" t="s">
        <v>131</v>
      </c>
      <c r="F58" s="46" t="s">
        <v>212</v>
      </c>
      <c r="G58" s="455" t="s">
        <v>52</v>
      </c>
      <c r="H58" s="46" t="s">
        <v>191</v>
      </c>
      <c r="I58" s="46" t="s">
        <v>177</v>
      </c>
      <c r="J58" s="788" t="s">
        <v>190</v>
      </c>
      <c r="K58" s="59" t="s">
        <v>204</v>
      </c>
      <c r="L58" s="29">
        <f>150000</f>
        <v>150000</v>
      </c>
      <c r="M58" s="200">
        <v>168664</v>
      </c>
      <c r="N58" s="49">
        <f>36905</f>
        <v>36905</v>
      </c>
      <c r="O58" s="16">
        <f>6230</f>
        <v>6230</v>
      </c>
      <c r="P58" s="123">
        <f>+O58/N58</f>
        <v>0.16881181411732826</v>
      </c>
      <c r="Q58" s="161">
        <v>73810</v>
      </c>
      <c r="R58" s="82">
        <f>73810</f>
        <v>73810</v>
      </c>
      <c r="S58" s="29">
        <v>10018</v>
      </c>
      <c r="T58" s="64">
        <f>S58</f>
        <v>10018</v>
      </c>
      <c r="U58" s="437">
        <f>+S58/Q58</f>
        <v>0.13572686627828207</v>
      </c>
      <c r="V58" s="442">
        <f>+T58/$R58</f>
        <v>0.13572686627828207</v>
      </c>
      <c r="W58" s="56">
        <f>110715</f>
        <v>110715</v>
      </c>
      <c r="X58" s="36">
        <f>110715</f>
        <v>110715</v>
      </c>
      <c r="Y58" s="371">
        <v>20855</v>
      </c>
      <c r="Z58" s="371">
        <f>Y58</f>
        <v>20855</v>
      </c>
      <c r="AA58" s="30">
        <f>+Y58/W58</f>
        <v>0.18836652666756989</v>
      </c>
      <c r="AB58" s="30">
        <f>+Z58/$X58</f>
        <v>0.18836652666756989</v>
      </c>
      <c r="AC58" s="123" t="s">
        <v>115</v>
      </c>
      <c r="AD58" s="255">
        <v>150000</v>
      </c>
      <c r="AE58" s="35">
        <f>+AD58</f>
        <v>150000</v>
      </c>
      <c r="AF58" s="447">
        <f t="shared" si="23"/>
        <v>20855</v>
      </c>
      <c r="AG58" s="447">
        <f t="shared" si="24"/>
        <v>20855</v>
      </c>
      <c r="AH58" s="462">
        <f t="shared" si="25"/>
        <v>0.13903333333333334</v>
      </c>
      <c r="AI58" s="30">
        <f t="shared" si="25"/>
        <v>0.13903333333333334</v>
      </c>
      <c r="AJ58" s="168">
        <f t="shared" si="21"/>
        <v>0.13903333333333334</v>
      </c>
      <c r="AK58" s="70" t="s">
        <v>437</v>
      </c>
      <c r="AL58" s="270" t="s">
        <v>86</v>
      </c>
      <c r="AM58" s="165"/>
    </row>
    <row r="59" spans="1:39" ht="45" x14ac:dyDescent="0.25">
      <c r="B59" s="576" t="s">
        <v>53</v>
      </c>
      <c r="C59" s="197" t="s">
        <v>112</v>
      </c>
      <c r="D59" s="46" t="s">
        <v>99</v>
      </c>
      <c r="E59" s="59" t="s">
        <v>131</v>
      </c>
      <c r="F59" s="46" t="s">
        <v>211</v>
      </c>
      <c r="G59" s="4" t="s">
        <v>53</v>
      </c>
      <c r="H59" s="46" t="s">
        <v>185</v>
      </c>
      <c r="I59" s="46" t="s">
        <v>177</v>
      </c>
      <c r="J59" s="788" t="s">
        <v>187</v>
      </c>
      <c r="K59" s="59" t="s">
        <v>186</v>
      </c>
      <c r="L59" s="32">
        <v>0.15</v>
      </c>
      <c r="M59" s="168">
        <v>0.19400000000000001</v>
      </c>
      <c r="N59" s="47">
        <v>0.183</v>
      </c>
      <c r="O59" s="32">
        <v>0.183</v>
      </c>
      <c r="P59" s="123">
        <f>(M59-O59)/(M59-N59)</f>
        <v>1</v>
      </c>
      <c r="Q59" s="181">
        <v>0.17199999999999999</v>
      </c>
      <c r="R59" s="48">
        <v>0.17199999999999999</v>
      </c>
      <c r="S59" s="32">
        <v>0.17100000000000001</v>
      </c>
      <c r="T59" s="32">
        <v>0.17100000000000001</v>
      </c>
      <c r="U59" s="437">
        <f>+(M59-S59)/(M59-Q59)</f>
        <v>1.0454545454545443</v>
      </c>
      <c r="V59" s="442">
        <f>+(M59-T59)/(M59-L59)</f>
        <v>0.52272727272727237</v>
      </c>
      <c r="W59" s="125">
        <v>0.161</v>
      </c>
      <c r="X59" s="34">
        <v>0.161</v>
      </c>
      <c r="Y59" s="330">
        <f>+S59</f>
        <v>0.17100000000000001</v>
      </c>
      <c r="Z59" s="330">
        <f>+Y59</f>
        <v>0.17100000000000001</v>
      </c>
      <c r="AA59" s="30">
        <f>+(M59-Y59)/(M59-W59)</f>
        <v>0.69696969696969668</v>
      </c>
      <c r="AB59" s="30">
        <f>(M59-Z59)/(M59-X59)</f>
        <v>0.69696969696969668</v>
      </c>
      <c r="AC59" s="123" t="s">
        <v>312</v>
      </c>
      <c r="AD59" s="259">
        <v>0.15</v>
      </c>
      <c r="AE59" s="33">
        <f>+L59</f>
        <v>0.15</v>
      </c>
      <c r="AF59" s="370">
        <f t="shared" si="23"/>
        <v>0.17100000000000001</v>
      </c>
      <c r="AG59" s="370">
        <f t="shared" si="24"/>
        <v>0.17100000000000001</v>
      </c>
      <c r="AH59" s="463">
        <f>(M59-AF59)/(M59-AD59)</f>
        <v>0.52272727272727237</v>
      </c>
      <c r="AI59" s="30">
        <f>+(M59-AG59)/(M59-AE59)</f>
        <v>0.52272727272727237</v>
      </c>
      <c r="AJ59" s="168">
        <f t="shared" si="21"/>
        <v>0.52272727272727237</v>
      </c>
      <c r="AK59" s="70" t="s">
        <v>376</v>
      </c>
      <c r="AL59" s="273" t="s">
        <v>445</v>
      </c>
      <c r="AM59" s="168"/>
    </row>
    <row r="60" spans="1:39" ht="30" x14ac:dyDescent="0.25">
      <c r="B60" s="576" t="s">
        <v>54</v>
      </c>
      <c r="C60" s="197" t="s">
        <v>112</v>
      </c>
      <c r="D60" s="46" t="s">
        <v>99</v>
      </c>
      <c r="E60" s="59" t="s">
        <v>131</v>
      </c>
      <c r="F60" s="46" t="s">
        <v>211</v>
      </c>
      <c r="G60" s="4" t="s">
        <v>54</v>
      </c>
      <c r="H60" s="46" t="s">
        <v>185</v>
      </c>
      <c r="I60" s="46" t="s">
        <v>177</v>
      </c>
      <c r="J60" s="788" t="s">
        <v>184</v>
      </c>
      <c r="K60" s="59" t="s">
        <v>186</v>
      </c>
      <c r="L60" s="32">
        <v>0.56999999999999995</v>
      </c>
      <c r="M60" s="168">
        <v>0.47799999999999998</v>
      </c>
      <c r="N60" s="47">
        <v>0.48899999999999999</v>
      </c>
      <c r="O60" s="32">
        <v>0.49399999999999999</v>
      </c>
      <c r="P60" s="123">
        <f>+(O60-M60)/(N60-M60)</f>
        <v>1.4545454545454546</v>
      </c>
      <c r="Q60" s="181">
        <v>0.51600000000000001</v>
      </c>
      <c r="R60" s="48">
        <v>0.51600000000000001</v>
      </c>
      <c r="S60" s="32">
        <v>0.51500000000000001</v>
      </c>
      <c r="T60" s="32">
        <v>0.51500000000000001</v>
      </c>
      <c r="U60" s="30">
        <f>+(S60-M60)/(Q60-M60)</f>
        <v>0.97368421052631582</v>
      </c>
      <c r="V60" s="30">
        <f>+(T60-M60)/(L60-M60)</f>
        <v>0.40217391304347877</v>
      </c>
      <c r="W60" s="181">
        <v>0.54300000000000004</v>
      </c>
      <c r="X60" s="34">
        <v>0.54300000000000004</v>
      </c>
      <c r="Y60" s="40">
        <v>0.52800000000000002</v>
      </c>
      <c r="Z60" s="40">
        <v>0.52800000000000002</v>
      </c>
      <c r="AA60" s="281">
        <f>+(Y60-M60)/(W60-M60)</f>
        <v>0.76923076923076927</v>
      </c>
      <c r="AB60" s="30">
        <f>+Z60/$X60</f>
        <v>0.97237569060773477</v>
      </c>
      <c r="AC60" s="123" t="s">
        <v>115</v>
      </c>
      <c r="AD60" s="259">
        <v>0.56999999999999995</v>
      </c>
      <c r="AE60" s="33">
        <f>+L60</f>
        <v>0.56999999999999995</v>
      </c>
      <c r="AF60" s="370">
        <f t="shared" si="23"/>
        <v>0.52800000000000002</v>
      </c>
      <c r="AG60" s="370">
        <f t="shared" si="24"/>
        <v>0.52800000000000002</v>
      </c>
      <c r="AH60" s="463">
        <f>(M60-AF60)/(M60-AD60)</f>
        <v>0.54347826086956585</v>
      </c>
      <c r="AI60" s="30">
        <f>+(M60-AG60)/(M60-AE60)</f>
        <v>0.54347826086956585</v>
      </c>
      <c r="AJ60" s="168">
        <f>+AI60</f>
        <v>0.54347826086956585</v>
      </c>
      <c r="AK60" s="70" t="s">
        <v>437</v>
      </c>
      <c r="AL60" s="270"/>
      <c r="AM60" s="168"/>
    </row>
    <row r="61" spans="1:39" ht="30" x14ac:dyDescent="0.25">
      <c r="B61" s="576" t="s">
        <v>55</v>
      </c>
      <c r="C61" s="197" t="s">
        <v>112</v>
      </c>
      <c r="D61" s="46" t="s">
        <v>99</v>
      </c>
      <c r="E61" s="59" t="s">
        <v>131</v>
      </c>
      <c r="F61" s="46" t="s">
        <v>211</v>
      </c>
      <c r="G61" s="4" t="s">
        <v>55</v>
      </c>
      <c r="H61" s="46" t="s">
        <v>191</v>
      </c>
      <c r="I61" s="46" t="s">
        <v>177</v>
      </c>
      <c r="J61" s="788" t="s">
        <v>190</v>
      </c>
      <c r="K61" s="59" t="s">
        <v>204</v>
      </c>
      <c r="L61" s="29">
        <v>400000</v>
      </c>
      <c r="M61" s="29">
        <v>546631</v>
      </c>
      <c r="N61" s="49">
        <v>92888</v>
      </c>
      <c r="O61" s="16">
        <v>72898</v>
      </c>
      <c r="P61" s="123">
        <f>+O61/N61</f>
        <v>0.78479459133580221</v>
      </c>
      <c r="Q61" s="161">
        <v>185776</v>
      </c>
      <c r="R61" s="82">
        <v>185776</v>
      </c>
      <c r="S61" s="29">
        <v>173782</v>
      </c>
      <c r="T61" s="16">
        <v>173782</v>
      </c>
      <c r="U61" s="437">
        <f>+S61/Q61</f>
        <v>0.93543837740074065</v>
      </c>
      <c r="V61" s="442">
        <f>+T61/$R61</f>
        <v>0.93543837740074065</v>
      </c>
      <c r="W61" s="56">
        <v>278664</v>
      </c>
      <c r="X61" s="36">
        <v>278664</v>
      </c>
      <c r="Y61" s="103">
        <v>225662</v>
      </c>
      <c r="Z61" s="103">
        <v>225662</v>
      </c>
      <c r="AA61" s="30">
        <f>+Y61/W61</f>
        <v>0.80979961530732347</v>
      </c>
      <c r="AB61" s="30">
        <f>+Z61/$X61</f>
        <v>0.80979961530732347</v>
      </c>
      <c r="AC61" s="123" t="s">
        <v>115</v>
      </c>
      <c r="AD61" s="255">
        <v>400000</v>
      </c>
      <c r="AE61" s="35">
        <f>+L61</f>
        <v>400000</v>
      </c>
      <c r="AF61" s="447">
        <f>+Z61</f>
        <v>225662</v>
      </c>
      <c r="AG61" s="447">
        <f t="shared" si="24"/>
        <v>225662</v>
      </c>
      <c r="AH61" s="462">
        <f>+AF61/AD61</f>
        <v>0.56415499999999996</v>
      </c>
      <c r="AI61" s="30">
        <f>+AG61/AE61</f>
        <v>0.56415499999999996</v>
      </c>
      <c r="AJ61" s="168">
        <f t="shared" si="21"/>
        <v>0.56415499999999996</v>
      </c>
      <c r="AK61" s="70" t="s">
        <v>437</v>
      </c>
      <c r="AL61" s="270"/>
      <c r="AM61" s="165"/>
    </row>
    <row r="62" spans="1:39" ht="75" x14ac:dyDescent="0.25">
      <c r="A62" s="446"/>
      <c r="B62" s="579" t="s">
        <v>56</v>
      </c>
      <c r="C62" s="369" t="s">
        <v>112</v>
      </c>
      <c r="D62" s="46" t="s">
        <v>99</v>
      </c>
      <c r="E62" s="59" t="s">
        <v>131</v>
      </c>
      <c r="F62" s="46" t="s">
        <v>212</v>
      </c>
      <c r="G62" s="455" t="s">
        <v>56</v>
      </c>
      <c r="H62" s="46" t="s">
        <v>185</v>
      </c>
      <c r="I62" s="46" t="s">
        <v>177</v>
      </c>
      <c r="J62" s="788" t="s">
        <v>190</v>
      </c>
      <c r="K62" s="59" t="s">
        <v>205</v>
      </c>
      <c r="L62" s="29">
        <v>33</v>
      </c>
      <c r="M62" s="200">
        <v>25</v>
      </c>
      <c r="N62" s="49">
        <v>27</v>
      </c>
      <c r="O62" s="16">
        <v>26</v>
      </c>
      <c r="P62" s="123">
        <f>+O62/N62</f>
        <v>0.96296296296296291</v>
      </c>
      <c r="Q62" s="161">
        <v>29</v>
      </c>
      <c r="R62" s="82">
        <v>29</v>
      </c>
      <c r="S62" s="29">
        <v>25</v>
      </c>
      <c r="T62" s="11">
        <v>25</v>
      </c>
      <c r="U62" s="30">
        <f>+S62/Q62</f>
        <v>0.86206896551724133</v>
      </c>
      <c r="V62" s="123">
        <f>+T62/$R62</f>
        <v>0.86206896551724133</v>
      </c>
      <c r="W62" s="56">
        <v>31</v>
      </c>
      <c r="X62" s="36">
        <v>31</v>
      </c>
      <c r="Y62" s="57">
        <v>26</v>
      </c>
      <c r="Z62" s="57">
        <v>26</v>
      </c>
      <c r="AA62" s="30">
        <f>+Y62/W62</f>
        <v>0.83870967741935487</v>
      </c>
      <c r="AB62" s="30">
        <f>+Z62/$X62</f>
        <v>0.83870967741935487</v>
      </c>
      <c r="AC62" s="123" t="s">
        <v>115</v>
      </c>
      <c r="AD62" s="262">
        <v>33</v>
      </c>
      <c r="AE62" s="35">
        <f>+L62</f>
        <v>33</v>
      </c>
      <c r="AF62" s="447">
        <f>+Y62</f>
        <v>26</v>
      </c>
      <c r="AG62" s="447">
        <f t="shared" si="24"/>
        <v>26</v>
      </c>
      <c r="AH62" s="463">
        <f>+AF62/AD62</f>
        <v>0.78787878787878785</v>
      </c>
      <c r="AI62" s="30">
        <f>+AG62/AE62</f>
        <v>0.78787878787878785</v>
      </c>
      <c r="AJ62" s="168">
        <f t="shared" si="21"/>
        <v>0.78787878787878785</v>
      </c>
      <c r="AK62" s="70" t="s">
        <v>437</v>
      </c>
      <c r="AL62" s="270" t="s">
        <v>87</v>
      </c>
      <c r="AM62" s="165"/>
    </row>
    <row r="63" spans="1:39" ht="150" x14ac:dyDescent="0.25">
      <c r="A63" s="446" t="s">
        <v>385</v>
      </c>
      <c r="B63" s="577" t="s">
        <v>57</v>
      </c>
      <c r="C63" s="497" t="s">
        <v>112</v>
      </c>
      <c r="D63" s="46" t="s">
        <v>99</v>
      </c>
      <c r="E63" s="59" t="s">
        <v>131</v>
      </c>
      <c r="F63" s="46" t="s">
        <v>211</v>
      </c>
      <c r="G63" s="4" t="s">
        <v>57</v>
      </c>
      <c r="H63" s="46" t="s">
        <v>185</v>
      </c>
      <c r="I63" s="46" t="s">
        <v>177</v>
      </c>
      <c r="J63" s="788" t="s">
        <v>187</v>
      </c>
      <c r="K63" s="59" t="s">
        <v>186</v>
      </c>
      <c r="L63" s="32">
        <v>0.08</v>
      </c>
      <c r="M63" s="32">
        <v>0.10100000000000001</v>
      </c>
      <c r="N63" s="47">
        <v>9.7000000000000003E-2</v>
      </c>
      <c r="O63" s="32">
        <v>9.2999999999999999E-2</v>
      </c>
      <c r="P63" s="123">
        <f>(M63-O63)/(M63-N63)</f>
        <v>2</v>
      </c>
      <c r="Q63" s="181">
        <v>9.0999999999999998E-2</v>
      </c>
      <c r="R63" s="48">
        <v>9.0999999999999998E-2</v>
      </c>
      <c r="S63" s="32">
        <v>0.09</v>
      </c>
      <c r="T63" s="32">
        <f>+S63</f>
        <v>0.09</v>
      </c>
      <c r="U63" s="30">
        <f>+(M63-S63)/(M63-Q63)</f>
        <v>1.1000000000000001</v>
      </c>
      <c r="V63" s="123">
        <f>+(M63-T63)/(M63-L63)</f>
        <v>0.52380952380952417</v>
      </c>
      <c r="W63" s="125">
        <v>8.5999999999999993E-2</v>
      </c>
      <c r="X63" s="34">
        <v>8.5999999999999993E-2</v>
      </c>
      <c r="Y63" s="330">
        <f>+T63</f>
        <v>0.09</v>
      </c>
      <c r="Z63" s="330">
        <f>+Y63</f>
        <v>0.09</v>
      </c>
      <c r="AA63" s="32">
        <f>+(M63-Y63)/(M63-W63)</f>
        <v>0.73333333333333328</v>
      </c>
      <c r="AB63" s="30">
        <f>(M63-Z63)/(M63-X63)</f>
        <v>0.73333333333333328</v>
      </c>
      <c r="AC63" s="123" t="s">
        <v>312</v>
      </c>
      <c r="AD63" s="259">
        <v>0.08</v>
      </c>
      <c r="AE63" s="33">
        <f>+L63</f>
        <v>0.08</v>
      </c>
      <c r="AF63" s="370">
        <f>+Y63</f>
        <v>0.09</v>
      </c>
      <c r="AG63" s="370">
        <f t="shared" si="24"/>
        <v>0.09</v>
      </c>
      <c r="AH63" s="463">
        <f>(M63-AF63)/(M63-AD63)</f>
        <v>0.52380952380952417</v>
      </c>
      <c r="AI63" s="30">
        <f>+(M63-AG63)/(M63-AE63)</f>
        <v>0.52380952380952417</v>
      </c>
      <c r="AJ63" s="168">
        <f t="shared" si="21"/>
        <v>0.52380952380952417</v>
      </c>
      <c r="AK63" s="70" t="s">
        <v>376</v>
      </c>
      <c r="AL63" s="270" t="s">
        <v>446</v>
      </c>
      <c r="AM63" s="168"/>
    </row>
    <row r="64" spans="1:39" ht="45" x14ac:dyDescent="0.25">
      <c r="A64" s="446"/>
      <c r="B64" s="579" t="s">
        <v>181</v>
      </c>
      <c r="C64" s="369" t="s">
        <v>112</v>
      </c>
      <c r="D64" s="46" t="s">
        <v>99</v>
      </c>
      <c r="E64" s="59" t="s">
        <v>135</v>
      </c>
      <c r="F64" s="46" t="s">
        <v>212</v>
      </c>
      <c r="G64" s="455" t="s">
        <v>181</v>
      </c>
      <c r="H64" s="46" t="s">
        <v>175</v>
      </c>
      <c r="I64" s="46" t="s">
        <v>180</v>
      </c>
      <c r="J64" s="788" t="s">
        <v>188</v>
      </c>
      <c r="K64" s="59" t="s">
        <v>193</v>
      </c>
      <c r="L64" s="29">
        <v>125000</v>
      </c>
      <c r="M64" s="202">
        <v>23067</v>
      </c>
      <c r="N64" s="49">
        <v>18347</v>
      </c>
      <c r="O64" s="450">
        <v>20313</v>
      </c>
      <c r="P64" s="123">
        <f>+O64/N64</f>
        <v>1.1071564833487764</v>
      </c>
      <c r="Q64" s="161">
        <v>34287</v>
      </c>
      <c r="R64" s="82">
        <f>+N64+Q64</f>
        <v>52634</v>
      </c>
      <c r="S64" s="29">
        <v>22252</v>
      </c>
      <c r="T64" s="16">
        <f>+O64+S64</f>
        <v>42565</v>
      </c>
      <c r="U64" s="30">
        <f>+S64/Q64</f>
        <v>0.64899232945431218</v>
      </c>
      <c r="V64" s="123">
        <f>+T64/$R64</f>
        <v>0.80869779990120449</v>
      </c>
      <c r="W64" s="56">
        <v>36183</v>
      </c>
      <c r="X64" s="36">
        <f>+W64+R64</f>
        <v>88817</v>
      </c>
      <c r="Y64" s="63">
        <v>23777</v>
      </c>
      <c r="Z64" s="63">
        <f>+T64+Y64</f>
        <v>66342</v>
      </c>
      <c r="AA64" s="30">
        <f>+Y64/W64</f>
        <v>0.6571318022275654</v>
      </c>
      <c r="AB64" s="30">
        <f t="shared" ref="AB64:AB71" si="26">+Z64/$X64</f>
        <v>0.74695159710415804</v>
      </c>
      <c r="AC64" s="123" t="s">
        <v>115</v>
      </c>
      <c r="AD64" s="254">
        <v>36183</v>
      </c>
      <c r="AE64" s="35">
        <f>+X64+AD64</f>
        <v>125000</v>
      </c>
      <c r="AF64" s="165">
        <v>20898</v>
      </c>
      <c r="AG64" s="165">
        <f>+Z64+AF64</f>
        <v>87240</v>
      </c>
      <c r="AH64" s="30">
        <f>+AF64/AD64</f>
        <v>0.57756404941547135</v>
      </c>
      <c r="AI64" s="463">
        <f>+AG64/AE64</f>
        <v>0.69791999999999998</v>
      </c>
      <c r="AJ64" s="168">
        <f t="shared" si="21"/>
        <v>0.69791999999999998</v>
      </c>
      <c r="AK64" s="70" t="s">
        <v>441</v>
      </c>
      <c r="AL64" s="270" t="s">
        <v>442</v>
      </c>
      <c r="AM64" s="165"/>
    </row>
    <row r="65" spans="1:39" ht="150" x14ac:dyDescent="0.25">
      <c r="A65" s="446" t="s">
        <v>386</v>
      </c>
      <c r="B65" s="576" t="s">
        <v>59</v>
      </c>
      <c r="C65" s="497" t="s">
        <v>112</v>
      </c>
      <c r="D65" s="46" t="s">
        <v>99</v>
      </c>
      <c r="E65" s="59" t="s">
        <v>135</v>
      </c>
      <c r="F65" s="46" t="s">
        <v>211</v>
      </c>
      <c r="G65" s="4" t="s">
        <v>59</v>
      </c>
      <c r="H65" s="46" t="s">
        <v>191</v>
      </c>
      <c r="I65" s="46" t="s">
        <v>180</v>
      </c>
      <c r="J65" s="788" t="s">
        <v>190</v>
      </c>
      <c r="K65" s="59" t="s">
        <v>183</v>
      </c>
      <c r="L65" s="32">
        <v>0.6</v>
      </c>
      <c r="M65" s="168">
        <v>0.39</v>
      </c>
      <c r="N65" s="47">
        <v>0.45</v>
      </c>
      <c r="O65" s="32">
        <v>0.91600000000000004</v>
      </c>
      <c r="P65" s="123">
        <f>+O65/N65</f>
        <v>2.0355555555555558</v>
      </c>
      <c r="Q65" s="181">
        <v>0.5</v>
      </c>
      <c r="R65" s="48">
        <v>0.5</v>
      </c>
      <c r="S65" s="184">
        <v>0.43740000000000001</v>
      </c>
      <c r="T65" s="31">
        <v>0.4374377507754475</v>
      </c>
      <c r="U65" s="437">
        <f>+S65/Q65</f>
        <v>0.87480000000000002</v>
      </c>
      <c r="V65" s="442">
        <f>+T65/$R65</f>
        <v>0.874875501550895</v>
      </c>
      <c r="W65" s="125">
        <v>0.55000000000000004</v>
      </c>
      <c r="X65" s="34">
        <v>0.55000000000000004</v>
      </c>
      <c r="Y65" s="52">
        <v>0.40200000000000002</v>
      </c>
      <c r="Z65" s="52">
        <v>0.40200000000000002</v>
      </c>
      <c r="AA65" s="30">
        <f>+Y65/W65</f>
        <v>0.73090909090909084</v>
      </c>
      <c r="AB65" s="30">
        <f t="shared" si="26"/>
        <v>0.73090909090909084</v>
      </c>
      <c r="AC65" s="123" t="s">
        <v>115</v>
      </c>
      <c r="AD65" s="259">
        <v>0.6</v>
      </c>
      <c r="AE65" s="33">
        <f>+L65</f>
        <v>0.6</v>
      </c>
      <c r="AF65" s="168">
        <v>0.84440000000000004</v>
      </c>
      <c r="AG65" s="168">
        <f>+AF65</f>
        <v>0.84440000000000004</v>
      </c>
      <c r="AH65" s="462">
        <f>+AF65/AD65</f>
        <v>1.4073333333333335</v>
      </c>
      <c r="AI65" s="30">
        <f>+AG65/AE65</f>
        <v>1.4073333333333335</v>
      </c>
      <c r="AJ65" s="168">
        <f t="shared" si="21"/>
        <v>1.4073333333333335</v>
      </c>
      <c r="AK65" s="75" t="s">
        <v>441</v>
      </c>
      <c r="AL65" s="270"/>
      <c r="AM65" s="168"/>
    </row>
    <row r="66" spans="1:39" ht="45" x14ac:dyDescent="0.25">
      <c r="A66" s="446"/>
      <c r="B66" s="579" t="s">
        <v>60</v>
      </c>
      <c r="C66" s="369" t="s">
        <v>112</v>
      </c>
      <c r="D66" s="46" t="s">
        <v>99</v>
      </c>
      <c r="E66" s="59" t="s">
        <v>131</v>
      </c>
      <c r="F66" s="46" t="s">
        <v>211</v>
      </c>
      <c r="G66" s="4" t="s">
        <v>60</v>
      </c>
      <c r="H66" s="46" t="s">
        <v>175</v>
      </c>
      <c r="I66" s="46" t="s">
        <v>177</v>
      </c>
      <c r="J66" s="788" t="s">
        <v>184</v>
      </c>
      <c r="K66" s="59" t="s">
        <v>198</v>
      </c>
      <c r="L66" s="29">
        <v>11638</v>
      </c>
      <c r="M66" s="204">
        <v>8893</v>
      </c>
      <c r="N66" s="49">
        <v>9500</v>
      </c>
      <c r="O66" s="16">
        <v>9477</v>
      </c>
      <c r="P66" s="123">
        <f>+(O66-M66)/(N66-M66)</f>
        <v>0.96210873146622733</v>
      </c>
      <c r="Q66" s="161">
        <v>10216</v>
      </c>
      <c r="R66" s="82">
        <v>10216</v>
      </c>
      <c r="S66" s="29">
        <v>10843</v>
      </c>
      <c r="T66" s="65">
        <v>10843</v>
      </c>
      <c r="U66" s="30">
        <f>+(S66-M66)/(Q66-M66)</f>
        <v>1.473922902494331</v>
      </c>
      <c r="V66" s="30">
        <f>+(T66-M66)/(L66-M66)</f>
        <v>0.7103825136612022</v>
      </c>
      <c r="W66" s="161">
        <v>10932</v>
      </c>
      <c r="X66" s="36">
        <f>+W66</f>
        <v>10932</v>
      </c>
      <c r="Y66" s="575">
        <v>13415</v>
      </c>
      <c r="Z66" s="575">
        <f>+Y66</f>
        <v>13415</v>
      </c>
      <c r="AA66" s="281">
        <f>+(Y66-M66)/(W66-M66)</f>
        <v>2.2177538008827855</v>
      </c>
      <c r="AB66" s="30">
        <f t="shared" si="26"/>
        <v>1.2271313574826199</v>
      </c>
      <c r="AC66" s="123" t="s">
        <v>115</v>
      </c>
      <c r="AD66" s="263">
        <v>11638</v>
      </c>
      <c r="AE66" s="35">
        <f>+AD66</f>
        <v>11638</v>
      </c>
      <c r="AF66" s="447">
        <f>+Y66</f>
        <v>13415</v>
      </c>
      <c r="AG66" s="447">
        <f t="shared" ref="AG66:AG70" si="27">+AF66</f>
        <v>13415</v>
      </c>
      <c r="AH66" s="463">
        <f>+(AF66-M66)/(AD66-M66)</f>
        <v>1.6473588342440801</v>
      </c>
      <c r="AI66" s="30">
        <f>+(AG66-M66)/(AE66-M66)</f>
        <v>1.6473588342440801</v>
      </c>
      <c r="AJ66" s="168">
        <f t="shared" si="21"/>
        <v>1.6473588342440801</v>
      </c>
      <c r="AK66" s="70" t="s">
        <v>437</v>
      </c>
      <c r="AL66" s="270"/>
      <c r="AM66" s="165"/>
    </row>
    <row r="67" spans="1:39" ht="60" x14ac:dyDescent="0.25">
      <c r="A67" s="446" t="s">
        <v>387</v>
      </c>
      <c r="B67" s="576" t="s">
        <v>61</v>
      </c>
      <c r="C67" s="497" t="s">
        <v>112</v>
      </c>
      <c r="D67" s="46" t="s">
        <v>99</v>
      </c>
      <c r="E67" s="59" t="s">
        <v>131</v>
      </c>
      <c r="F67" s="46" t="s">
        <v>211</v>
      </c>
      <c r="G67" s="4" t="s">
        <v>61</v>
      </c>
      <c r="H67" s="46" t="s">
        <v>175</v>
      </c>
      <c r="I67" s="46" t="s">
        <v>177</v>
      </c>
      <c r="J67" s="788" t="s">
        <v>184</v>
      </c>
      <c r="K67" s="59" t="s">
        <v>206</v>
      </c>
      <c r="L67" s="29">
        <v>25</v>
      </c>
      <c r="M67" s="200">
        <v>0</v>
      </c>
      <c r="N67" s="49">
        <v>4</v>
      </c>
      <c r="O67" s="16">
        <v>12</v>
      </c>
      <c r="P67" s="123">
        <f>+(O67-M67)/(N67-M67)</f>
        <v>3</v>
      </c>
      <c r="Q67" s="161">
        <v>12</v>
      </c>
      <c r="R67" s="82">
        <v>12</v>
      </c>
      <c r="S67" s="29">
        <v>24</v>
      </c>
      <c r="T67" s="11">
        <v>24</v>
      </c>
      <c r="U67" s="30">
        <f>+(S67-M67)/(Q67-M67)</f>
        <v>2</v>
      </c>
      <c r="V67" s="30">
        <f>+(T67-M67)/(L67-M67)</f>
        <v>0.96</v>
      </c>
      <c r="W67" s="161">
        <v>20</v>
      </c>
      <c r="X67" s="36">
        <v>20</v>
      </c>
      <c r="Y67" s="465">
        <f>+S67</f>
        <v>24</v>
      </c>
      <c r="Z67" s="465">
        <f>+Y67</f>
        <v>24</v>
      </c>
      <c r="AA67" s="281">
        <f>+(Y67-M67)/(W67-M67)</f>
        <v>1.2</v>
      </c>
      <c r="AB67" s="30">
        <f t="shared" si="26"/>
        <v>1.2</v>
      </c>
      <c r="AC67" s="123" t="s">
        <v>313</v>
      </c>
      <c r="AD67" s="264">
        <v>25</v>
      </c>
      <c r="AE67" s="35">
        <f>+L67</f>
        <v>25</v>
      </c>
      <c r="AF67" s="447">
        <f>+Y67</f>
        <v>24</v>
      </c>
      <c r="AG67" s="447">
        <f t="shared" si="27"/>
        <v>24</v>
      </c>
      <c r="AH67" s="463">
        <f>(M67-AF67)/(M67-AD67)</f>
        <v>0.96</v>
      </c>
      <c r="AI67" s="30">
        <f>+(M67-AG67)/(M67-AE67)</f>
        <v>0.96</v>
      </c>
      <c r="AJ67" s="168">
        <f>+AI67</f>
        <v>0.96</v>
      </c>
      <c r="AK67" s="70" t="s">
        <v>457</v>
      </c>
      <c r="AL67" s="270"/>
      <c r="AM67" s="165"/>
    </row>
    <row r="68" spans="1:39" ht="45" x14ac:dyDescent="0.25">
      <c r="B68" s="576" t="s">
        <v>62</v>
      </c>
      <c r="C68" s="197" t="s">
        <v>112</v>
      </c>
      <c r="D68" s="46" t="s">
        <v>99</v>
      </c>
      <c r="E68" s="59" t="s">
        <v>131</v>
      </c>
      <c r="F68" s="46" t="s">
        <v>211</v>
      </c>
      <c r="G68" s="4" t="s">
        <v>62</v>
      </c>
      <c r="H68" s="46" t="s">
        <v>191</v>
      </c>
      <c r="I68" s="46" t="s">
        <v>177</v>
      </c>
      <c r="J68" s="788" t="s">
        <v>190</v>
      </c>
      <c r="K68" s="59" t="s">
        <v>207</v>
      </c>
      <c r="L68" s="29">
        <v>40000</v>
      </c>
      <c r="M68" s="200">
        <v>82723</v>
      </c>
      <c r="N68" s="49">
        <v>8000</v>
      </c>
      <c r="O68" s="16">
        <v>28058</v>
      </c>
      <c r="P68" s="123">
        <f>+O68/N68</f>
        <v>3.50725</v>
      </c>
      <c r="Q68" s="161">
        <v>17500</v>
      </c>
      <c r="R68" s="82">
        <v>17500</v>
      </c>
      <c r="S68" s="29">
        <v>55022</v>
      </c>
      <c r="T68" s="27">
        <v>55022</v>
      </c>
      <c r="U68" s="437">
        <f>+S68/Q68</f>
        <v>3.1441142857142856</v>
      </c>
      <c r="V68" s="442">
        <f>+T68/$R68</f>
        <v>3.1441142857142856</v>
      </c>
      <c r="W68" s="56">
        <v>28500</v>
      </c>
      <c r="X68" s="36">
        <v>28500</v>
      </c>
      <c r="Y68" s="581">
        <v>87229</v>
      </c>
      <c r="Z68" s="581">
        <f>+Y68</f>
        <v>87229</v>
      </c>
      <c r="AA68" s="30">
        <f>+Y68/W68</f>
        <v>3.0606666666666666</v>
      </c>
      <c r="AB68" s="30">
        <f t="shared" si="26"/>
        <v>3.0606666666666666</v>
      </c>
      <c r="AC68" s="123" t="s">
        <v>115</v>
      </c>
      <c r="AD68" s="255">
        <v>40000</v>
      </c>
      <c r="AE68" s="35">
        <f>+L68</f>
        <v>40000</v>
      </c>
      <c r="AF68" s="447">
        <f>+Z68</f>
        <v>87229</v>
      </c>
      <c r="AG68" s="447">
        <f t="shared" si="27"/>
        <v>87229</v>
      </c>
      <c r="AH68" s="462">
        <f>+AF68/AD68</f>
        <v>2.1807249999999998</v>
      </c>
      <c r="AI68" s="30">
        <f>+AG68/AE68</f>
        <v>2.1807249999999998</v>
      </c>
      <c r="AJ68" s="168">
        <f t="shared" ref="AJ68:AJ85" si="28">+AI68</f>
        <v>2.1807249999999998</v>
      </c>
      <c r="AK68" s="70" t="s">
        <v>375</v>
      </c>
      <c r="AL68" s="270"/>
      <c r="AM68" s="165"/>
    </row>
    <row r="69" spans="1:39" ht="60" x14ac:dyDescent="0.25">
      <c r="B69" s="576" t="s">
        <v>63</v>
      </c>
      <c r="C69" s="197" t="s">
        <v>112</v>
      </c>
      <c r="D69" s="46" t="s">
        <v>99</v>
      </c>
      <c r="E69" s="59" t="s">
        <v>131</v>
      </c>
      <c r="F69" s="46" t="s">
        <v>211</v>
      </c>
      <c r="G69" s="4" t="s">
        <v>63</v>
      </c>
      <c r="H69" s="46" t="s">
        <v>191</v>
      </c>
      <c r="I69" s="46" t="s">
        <v>177</v>
      </c>
      <c r="J69" s="788" t="s">
        <v>190</v>
      </c>
      <c r="K69" s="59" t="s">
        <v>204</v>
      </c>
      <c r="L69" s="185">
        <v>7000</v>
      </c>
      <c r="M69" s="200">
        <v>14623</v>
      </c>
      <c r="N69" s="49">
        <v>1000</v>
      </c>
      <c r="O69" s="16">
        <v>4633</v>
      </c>
      <c r="P69" s="123">
        <f>+O69/N69</f>
        <v>4.633</v>
      </c>
      <c r="Q69" s="161">
        <v>3000</v>
      </c>
      <c r="R69" s="82">
        <v>3000</v>
      </c>
      <c r="S69" s="29">
        <v>5117</v>
      </c>
      <c r="T69" s="27">
        <v>5117</v>
      </c>
      <c r="U69" s="437">
        <f>+S69/Q69</f>
        <v>1.7056666666666667</v>
      </c>
      <c r="V69" s="442">
        <f>+T69/$R69</f>
        <v>1.7056666666666667</v>
      </c>
      <c r="W69" s="56">
        <v>5000</v>
      </c>
      <c r="X69" s="36">
        <v>5000</v>
      </c>
      <c r="Y69" s="581">
        <v>3244</v>
      </c>
      <c r="Z69" s="581">
        <f>+Y69</f>
        <v>3244</v>
      </c>
      <c r="AA69" s="30">
        <f>+Y69/W69</f>
        <v>0.64880000000000004</v>
      </c>
      <c r="AB69" s="30">
        <f t="shared" si="26"/>
        <v>0.64880000000000004</v>
      </c>
      <c r="AC69" s="123" t="s">
        <v>115</v>
      </c>
      <c r="AD69" s="255">
        <v>7000</v>
      </c>
      <c r="AE69" s="35">
        <f>+L69</f>
        <v>7000</v>
      </c>
      <c r="AF69" s="447">
        <f>+Z69</f>
        <v>3244</v>
      </c>
      <c r="AG69" s="447">
        <f t="shared" si="27"/>
        <v>3244</v>
      </c>
      <c r="AH69" s="462">
        <f>+AF69/AD69</f>
        <v>0.46342857142857141</v>
      </c>
      <c r="AI69" s="30">
        <f>+AG69/AE69</f>
        <v>0.46342857142857141</v>
      </c>
      <c r="AJ69" s="168">
        <f t="shared" si="28"/>
        <v>0.46342857142857141</v>
      </c>
      <c r="AK69" s="70" t="s">
        <v>375</v>
      </c>
      <c r="AL69" s="270"/>
      <c r="AM69" s="165"/>
    </row>
    <row r="70" spans="1:39" ht="120" x14ac:dyDescent="0.25">
      <c r="A70" s="590" t="s">
        <v>388</v>
      </c>
      <c r="B70" s="576" t="s">
        <v>64</v>
      </c>
      <c r="C70" s="497" t="s">
        <v>112</v>
      </c>
      <c r="D70" s="46" t="s">
        <v>99</v>
      </c>
      <c r="E70" s="59" t="s">
        <v>131</v>
      </c>
      <c r="F70" s="46" t="s">
        <v>211</v>
      </c>
      <c r="G70" s="4" t="s">
        <v>64</v>
      </c>
      <c r="H70" s="46" t="s">
        <v>185</v>
      </c>
      <c r="I70" s="46" t="s">
        <v>177</v>
      </c>
      <c r="J70" s="788" t="s">
        <v>184</v>
      </c>
      <c r="K70" s="59" t="s">
        <v>207</v>
      </c>
      <c r="L70" s="190">
        <v>4004</v>
      </c>
      <c r="M70" s="200">
        <v>2709</v>
      </c>
      <c r="N70" s="49">
        <v>3227</v>
      </c>
      <c r="O70" s="16">
        <v>3321</v>
      </c>
      <c r="P70" s="123">
        <f>+(O70-M70)/(N70-M70)</f>
        <v>1.1814671814671815</v>
      </c>
      <c r="Q70" s="161">
        <v>3486</v>
      </c>
      <c r="R70" s="82">
        <v>3486</v>
      </c>
      <c r="S70" s="29">
        <v>7536</v>
      </c>
      <c r="T70" s="27">
        <v>7536</v>
      </c>
      <c r="U70" s="30">
        <f>+(S70-M70)/(Q70-M70)</f>
        <v>6.2123552123552122</v>
      </c>
      <c r="V70" s="30">
        <f>+(T70-M70)/(L70-M70)</f>
        <v>3.7274131274131275</v>
      </c>
      <c r="W70" s="161">
        <v>3745</v>
      </c>
      <c r="X70" s="36">
        <v>3745</v>
      </c>
      <c r="Y70" s="581">
        <v>12456</v>
      </c>
      <c r="Z70" s="581">
        <f>+Y70</f>
        <v>12456</v>
      </c>
      <c r="AA70" s="281">
        <f>+(Y70-M70)/(W70-M70)</f>
        <v>9.4083011583011587</v>
      </c>
      <c r="AB70" s="30">
        <f t="shared" si="26"/>
        <v>3.3260347129506007</v>
      </c>
      <c r="AC70" s="123" t="s">
        <v>115</v>
      </c>
      <c r="AD70" s="265">
        <v>4004</v>
      </c>
      <c r="AE70" s="35">
        <f>+L70</f>
        <v>4004</v>
      </c>
      <c r="AF70" s="447">
        <f>+Y70</f>
        <v>12456</v>
      </c>
      <c r="AG70" s="447">
        <f t="shared" si="27"/>
        <v>12456</v>
      </c>
      <c r="AH70" s="463">
        <f>(M70-AF70)/(M70-AD70)</f>
        <v>7.5266409266409262</v>
      </c>
      <c r="AI70" s="30">
        <f>+(M70-AG70)/(M70-AE70)</f>
        <v>7.5266409266409262</v>
      </c>
      <c r="AJ70" s="168">
        <f t="shared" si="28"/>
        <v>7.5266409266409262</v>
      </c>
      <c r="AK70" s="70" t="s">
        <v>375</v>
      </c>
      <c r="AL70" s="270"/>
      <c r="AM70" s="165"/>
    </row>
    <row r="71" spans="1:39" ht="45" x14ac:dyDescent="0.25">
      <c r="B71" s="576" t="s">
        <v>65</v>
      </c>
      <c r="C71" s="197" t="s">
        <v>112</v>
      </c>
      <c r="D71" s="46" t="s">
        <v>99</v>
      </c>
      <c r="E71" s="59" t="s">
        <v>131</v>
      </c>
      <c r="F71" s="46" t="s">
        <v>212</v>
      </c>
      <c r="G71" s="455" t="s">
        <v>65</v>
      </c>
      <c r="H71" s="46" t="s">
        <v>175</v>
      </c>
      <c r="I71" s="46" t="s">
        <v>177</v>
      </c>
      <c r="J71" s="788" t="s">
        <v>188</v>
      </c>
      <c r="K71" s="59" t="s">
        <v>193</v>
      </c>
      <c r="L71" s="29">
        <v>40000</v>
      </c>
      <c r="M71" s="200">
        <v>0</v>
      </c>
      <c r="N71" s="49">
        <v>10000</v>
      </c>
      <c r="O71" s="16">
        <v>10141</v>
      </c>
      <c r="P71" s="123">
        <f>+O71/N71</f>
        <v>1.0141</v>
      </c>
      <c r="Q71" s="161">
        <v>10000</v>
      </c>
      <c r="R71" s="82">
        <f>+N71+Q71</f>
        <v>20000</v>
      </c>
      <c r="S71" s="29">
        <v>12730</v>
      </c>
      <c r="T71" s="439">
        <f>+O71+S71</f>
        <v>22871</v>
      </c>
      <c r="U71" s="438">
        <f>+S71/Q71</f>
        <v>1.2729999999999999</v>
      </c>
      <c r="V71" s="442">
        <f>+T71/$R71</f>
        <v>1.1435500000000001</v>
      </c>
      <c r="W71" s="56">
        <v>10000</v>
      </c>
      <c r="X71" s="36">
        <f>+R71+W71</f>
        <v>30000</v>
      </c>
      <c r="Y71" s="66">
        <v>9083</v>
      </c>
      <c r="Z71" s="63">
        <f>+T71+Y71</f>
        <v>31954</v>
      </c>
      <c r="AA71" s="30">
        <f>+Y71/W71</f>
        <v>0.9083</v>
      </c>
      <c r="AB71" s="30">
        <f t="shared" si="26"/>
        <v>1.0651333333333333</v>
      </c>
      <c r="AC71" s="123" t="s">
        <v>115</v>
      </c>
      <c r="AD71" s="254">
        <v>10000</v>
      </c>
      <c r="AE71" s="35">
        <f>+X71+AD71</f>
        <v>40000</v>
      </c>
      <c r="AF71" s="165">
        <v>8041</v>
      </c>
      <c r="AG71" s="165">
        <f>+Z71+AF71</f>
        <v>39995</v>
      </c>
      <c r="AH71" s="463">
        <f>+AF71/AD71</f>
        <v>0.80410000000000004</v>
      </c>
      <c r="AI71" s="32">
        <f>+AG71/AE71</f>
        <v>0.99987499999999996</v>
      </c>
      <c r="AJ71" s="168">
        <f t="shared" si="28"/>
        <v>0.99987499999999996</v>
      </c>
      <c r="AK71" s="76" t="s">
        <v>459</v>
      </c>
      <c r="AL71" s="270" t="s">
        <v>460</v>
      </c>
      <c r="AM71" s="165"/>
    </row>
    <row r="72" spans="1:39" ht="195" x14ac:dyDescent="0.25">
      <c r="A72" s="446" t="s">
        <v>309</v>
      </c>
      <c r="B72" s="578" t="s">
        <v>66</v>
      </c>
      <c r="C72" s="367" t="s">
        <v>112</v>
      </c>
      <c r="D72" s="46" t="s">
        <v>99</v>
      </c>
      <c r="E72" s="59" t="s">
        <v>131</v>
      </c>
      <c r="F72" s="46" t="s">
        <v>212</v>
      </c>
      <c r="G72" s="455" t="s">
        <v>66</v>
      </c>
      <c r="H72" s="59" t="s">
        <v>185</v>
      </c>
      <c r="I72" s="46" t="s">
        <v>177</v>
      </c>
      <c r="J72" s="788" t="s">
        <v>182</v>
      </c>
      <c r="K72" s="59" t="s">
        <v>186</v>
      </c>
      <c r="L72" s="32">
        <v>0.05</v>
      </c>
      <c r="M72" s="168">
        <v>0</v>
      </c>
      <c r="N72" s="224">
        <v>0.05</v>
      </c>
      <c r="O72" s="32">
        <v>1.9E-2</v>
      </c>
      <c r="P72" s="451">
        <v>1</v>
      </c>
      <c r="Q72" s="226">
        <v>0.05</v>
      </c>
      <c r="R72" s="228">
        <v>0.05</v>
      </c>
      <c r="S72" s="32">
        <v>1.34E-2</v>
      </c>
      <c r="T72" s="31">
        <v>1.34E-2</v>
      </c>
      <c r="U72" s="448">
        <v>1</v>
      </c>
      <c r="V72" s="123">
        <v>1</v>
      </c>
      <c r="W72" s="151">
        <v>0.05</v>
      </c>
      <c r="X72" s="31">
        <v>0.05</v>
      </c>
      <c r="Y72" s="40">
        <v>2.4299999999999999E-2</v>
      </c>
      <c r="Z72" s="40">
        <v>2.4299999999999999E-2</v>
      </c>
      <c r="AA72" s="448">
        <v>1</v>
      </c>
      <c r="AB72" s="30">
        <v>1</v>
      </c>
      <c r="AC72" s="123" t="s">
        <v>115</v>
      </c>
      <c r="AD72" s="266">
        <v>0.05</v>
      </c>
      <c r="AE72" s="452">
        <f>+L72</f>
        <v>0.05</v>
      </c>
      <c r="AF72" s="168">
        <f>+Y72</f>
        <v>2.4299999999999999E-2</v>
      </c>
      <c r="AG72" s="168">
        <f>+AF72</f>
        <v>2.4299999999999999E-2</v>
      </c>
      <c r="AH72" s="448">
        <v>1</v>
      </c>
      <c r="AI72" s="448">
        <v>1</v>
      </c>
      <c r="AJ72" s="168">
        <f t="shared" si="28"/>
        <v>1</v>
      </c>
      <c r="AK72" s="70" t="s">
        <v>452</v>
      </c>
      <c r="AL72" s="270"/>
      <c r="AM72" s="168"/>
    </row>
    <row r="73" spans="1:39" ht="60" x14ac:dyDescent="0.25">
      <c r="B73" s="576" t="s">
        <v>67</v>
      </c>
      <c r="C73" s="369" t="s">
        <v>112</v>
      </c>
      <c r="D73" s="46" t="s">
        <v>99</v>
      </c>
      <c r="E73" s="59" t="s">
        <v>131</v>
      </c>
      <c r="F73" s="46" t="s">
        <v>211</v>
      </c>
      <c r="G73" s="4" t="s">
        <v>67</v>
      </c>
      <c r="H73" s="46" t="s">
        <v>175</v>
      </c>
      <c r="I73" s="46" t="s">
        <v>177</v>
      </c>
      <c r="J73" s="788" t="s">
        <v>188</v>
      </c>
      <c r="K73" s="59" t="s">
        <v>204</v>
      </c>
      <c r="L73" s="29">
        <v>20</v>
      </c>
      <c r="M73" s="200">
        <v>0</v>
      </c>
      <c r="N73" s="49">
        <v>2</v>
      </c>
      <c r="O73" s="29">
        <v>0</v>
      </c>
      <c r="P73" s="123">
        <f>+O73/N73</f>
        <v>0</v>
      </c>
      <c r="Q73" s="161">
        <v>4</v>
      </c>
      <c r="R73" s="82">
        <f>+N73+Q73</f>
        <v>6</v>
      </c>
      <c r="S73" s="29">
        <f>+T73-O73</f>
        <v>0</v>
      </c>
      <c r="T73" s="11">
        <v>0</v>
      </c>
      <c r="U73" s="437">
        <f>+S73/Q73</f>
        <v>0</v>
      </c>
      <c r="V73" s="442">
        <f>+T73/$R73</f>
        <v>0</v>
      </c>
      <c r="W73" s="56">
        <v>6</v>
      </c>
      <c r="X73" s="36">
        <v>6</v>
      </c>
      <c r="Y73" s="54">
        <v>10</v>
      </c>
      <c r="Z73" s="63">
        <f>+T73+Y73</f>
        <v>10</v>
      </c>
      <c r="AA73" s="30">
        <f>+Y73/W73</f>
        <v>1.6666666666666667</v>
      </c>
      <c r="AB73" s="30">
        <f>+Z73/$X73</f>
        <v>1.6666666666666667</v>
      </c>
      <c r="AC73" s="123" t="s">
        <v>115</v>
      </c>
      <c r="AD73" s="254">
        <v>8</v>
      </c>
      <c r="AE73" s="35">
        <f>+N73+Q73+W73+AD73</f>
        <v>20</v>
      </c>
      <c r="AF73" s="447">
        <v>0</v>
      </c>
      <c r="AG73" s="447">
        <f>+Z73+AF73</f>
        <v>10</v>
      </c>
      <c r="AH73" s="30">
        <f>+AF73/AD73</f>
        <v>0</v>
      </c>
      <c r="AI73" s="463">
        <f>+AG73/AE73</f>
        <v>0.5</v>
      </c>
      <c r="AJ73" s="168">
        <f t="shared" si="28"/>
        <v>0.5</v>
      </c>
      <c r="AK73" s="70" t="s">
        <v>375</v>
      </c>
      <c r="AL73" s="273"/>
      <c r="AM73" s="165"/>
    </row>
    <row r="74" spans="1:39" ht="180" x14ac:dyDescent="0.25">
      <c r="B74" s="576" t="s">
        <v>306</v>
      </c>
      <c r="C74" s="196" t="s">
        <v>110</v>
      </c>
      <c r="D74" s="46" t="s">
        <v>101</v>
      </c>
      <c r="E74" s="59" t="s">
        <v>136</v>
      </c>
      <c r="F74" s="46" t="s">
        <v>211</v>
      </c>
      <c r="G74" s="4" t="s">
        <v>306</v>
      </c>
      <c r="H74" s="46" t="s">
        <v>191</v>
      </c>
      <c r="I74" s="46" t="s">
        <v>177</v>
      </c>
      <c r="J74" s="788" t="s">
        <v>184</v>
      </c>
      <c r="K74" s="59" t="s">
        <v>183</v>
      </c>
      <c r="L74" s="38">
        <v>1</v>
      </c>
      <c r="M74" s="168">
        <v>0</v>
      </c>
      <c r="N74" s="85">
        <v>0</v>
      </c>
      <c r="O74" s="435">
        <v>0</v>
      </c>
      <c r="P74" s="143" t="str">
        <f>IFERROR((O74-M74)/(N74-M74),"N/A")</f>
        <v>N/A</v>
      </c>
      <c r="Q74" s="158">
        <f>+R74-N74</f>
        <v>0.35</v>
      </c>
      <c r="R74" s="48">
        <v>0.35</v>
      </c>
      <c r="S74" s="32">
        <f>+T74-O74</f>
        <v>0.54500000000000004</v>
      </c>
      <c r="T74" s="41">
        <v>0.54500000000000004</v>
      </c>
      <c r="U74" s="30">
        <f>+(S74-M74)/(Q74-M74)</f>
        <v>1.5571428571428574</v>
      </c>
      <c r="V74" s="30">
        <f>+(T74-M74)/(L74-M74)</f>
        <v>0.54500000000000004</v>
      </c>
      <c r="W74" s="158">
        <v>0.7</v>
      </c>
      <c r="X74" s="48">
        <v>0.7</v>
      </c>
      <c r="Y74" s="40">
        <v>0.6</v>
      </c>
      <c r="Z74" s="40">
        <v>0.6</v>
      </c>
      <c r="AA74" s="281">
        <f>+(Y74-M74)/(W74-M74)</f>
        <v>0.85714285714285721</v>
      </c>
      <c r="AB74" s="30">
        <f>+Z74/$X74</f>
        <v>0.85714285714285721</v>
      </c>
      <c r="AC74" s="123" t="s">
        <v>115</v>
      </c>
      <c r="AD74" s="252">
        <v>1</v>
      </c>
      <c r="AE74" s="150">
        <f>+L74</f>
        <v>1</v>
      </c>
      <c r="AF74" s="468">
        <v>0.82</v>
      </c>
      <c r="AG74" s="468">
        <f>+Z74</f>
        <v>0.6</v>
      </c>
      <c r="AH74" s="463">
        <f>(M74-AF74)/(M74-AD74)</f>
        <v>0.82</v>
      </c>
      <c r="AI74" s="30">
        <f>+(M74-AG74)/(M74-AE74)</f>
        <v>0.6</v>
      </c>
      <c r="AJ74" s="168">
        <f t="shared" si="28"/>
        <v>0.6</v>
      </c>
      <c r="AK74" s="70" t="s">
        <v>375</v>
      </c>
      <c r="AL74" s="270" t="s">
        <v>423</v>
      </c>
      <c r="AM74" s="176"/>
    </row>
    <row r="75" spans="1:39" ht="90" x14ac:dyDescent="0.25">
      <c r="B75" s="576" t="s">
        <v>69</v>
      </c>
      <c r="C75" s="196" t="s">
        <v>110</v>
      </c>
      <c r="D75" s="46" t="s">
        <v>101</v>
      </c>
      <c r="E75" s="59" t="s">
        <v>136</v>
      </c>
      <c r="F75" s="46" t="s">
        <v>211</v>
      </c>
      <c r="G75" s="4" t="s">
        <v>69</v>
      </c>
      <c r="H75" s="46" t="s">
        <v>191</v>
      </c>
      <c r="I75" s="46" t="s">
        <v>177</v>
      </c>
      <c r="J75" s="788" t="s">
        <v>184</v>
      </c>
      <c r="K75" s="59" t="s">
        <v>183</v>
      </c>
      <c r="L75" s="38">
        <v>1</v>
      </c>
      <c r="M75" s="205">
        <v>0</v>
      </c>
      <c r="N75" s="85">
        <v>0.05</v>
      </c>
      <c r="O75" s="41">
        <v>0.05</v>
      </c>
      <c r="P75" s="123">
        <f>+(O75-M75)/(N75-M75)</f>
        <v>1</v>
      </c>
      <c r="Q75" s="158">
        <v>0.3</v>
      </c>
      <c r="R75" s="48">
        <v>0.3</v>
      </c>
      <c r="S75" s="32">
        <v>0.15</v>
      </c>
      <c r="T75" s="41">
        <v>0.15</v>
      </c>
      <c r="U75" s="30">
        <f>+(S75-M75)/(Q75-M75)</f>
        <v>0.5</v>
      </c>
      <c r="V75" s="30">
        <f>+(T75-M75)/(L75-M75)</f>
        <v>0.15</v>
      </c>
      <c r="W75" s="158">
        <v>0.5</v>
      </c>
      <c r="X75" s="48">
        <v>0.5</v>
      </c>
      <c r="Y75" s="40">
        <v>0.2</v>
      </c>
      <c r="Z75" s="40">
        <v>0.2</v>
      </c>
      <c r="AA75" s="281">
        <f>+(Y75-M75)/(W75-M75)</f>
        <v>0.4</v>
      </c>
      <c r="AB75" s="30">
        <f>+Z75/$X75</f>
        <v>0.4</v>
      </c>
      <c r="AC75" s="123" t="s">
        <v>115</v>
      </c>
      <c r="AD75" s="252">
        <v>1</v>
      </c>
      <c r="AE75" s="150">
        <f>+L75</f>
        <v>1</v>
      </c>
      <c r="AF75" s="468">
        <v>0.06</v>
      </c>
      <c r="AG75" s="468">
        <f>+Z75</f>
        <v>0.2</v>
      </c>
      <c r="AH75" s="463">
        <f>(M75-AF75)/(M75-AD75)</f>
        <v>0.06</v>
      </c>
      <c r="AI75" s="30">
        <f>+(M75-AG75)/(M75-AE75)</f>
        <v>0.2</v>
      </c>
      <c r="AJ75" s="168">
        <f t="shared" si="28"/>
        <v>0.2</v>
      </c>
      <c r="AK75" s="70" t="s">
        <v>375</v>
      </c>
      <c r="AL75" s="270" t="s">
        <v>424</v>
      </c>
      <c r="AM75" s="176"/>
    </row>
    <row r="76" spans="1:39" s="142" customFormat="1" ht="75" x14ac:dyDescent="0.25">
      <c r="A76" s="446"/>
      <c r="B76" s="579" t="s">
        <v>71</v>
      </c>
      <c r="C76" s="369" t="s">
        <v>110</v>
      </c>
      <c r="D76" s="46" t="s">
        <v>101</v>
      </c>
      <c r="E76" s="59" t="s">
        <v>137</v>
      </c>
      <c r="F76" s="46" t="s">
        <v>211</v>
      </c>
      <c r="G76" s="4" t="s">
        <v>71</v>
      </c>
      <c r="H76" s="46" t="s">
        <v>175</v>
      </c>
      <c r="I76" s="46" t="s">
        <v>177</v>
      </c>
      <c r="J76" s="788" t="s">
        <v>188</v>
      </c>
      <c r="K76" s="59" t="s">
        <v>195</v>
      </c>
      <c r="L76" s="42">
        <v>46000</v>
      </c>
      <c r="M76" s="200">
        <v>43429</v>
      </c>
      <c r="N76" s="493">
        <v>1000</v>
      </c>
      <c r="O76" s="43">
        <v>2458</v>
      </c>
      <c r="P76" s="123">
        <f>+O76/N76</f>
        <v>2.4580000000000002</v>
      </c>
      <c r="Q76" s="494">
        <v>15000</v>
      </c>
      <c r="R76" s="331">
        <f>+N76+Q76</f>
        <v>16000</v>
      </c>
      <c r="S76" s="42">
        <f>+T76-O76</f>
        <v>967</v>
      </c>
      <c r="T76" s="43">
        <v>3425</v>
      </c>
      <c r="U76" s="145">
        <f>+S76/Q76</f>
        <v>6.4466666666666672E-2</v>
      </c>
      <c r="V76" s="143">
        <f>+T76/$R76</f>
        <v>0.21406249999999999</v>
      </c>
      <c r="W76" s="495">
        <v>15000</v>
      </c>
      <c r="X76" s="332">
        <f>+R76+W76</f>
        <v>31000</v>
      </c>
      <c r="Y76" s="43">
        <v>3135</v>
      </c>
      <c r="Z76" s="66">
        <f>+T76+Y76</f>
        <v>6560</v>
      </c>
      <c r="AA76" s="145">
        <f>+Y76/W76</f>
        <v>0.20899999999999999</v>
      </c>
      <c r="AB76" s="145">
        <f>+Z76/$X76</f>
        <v>0.21161290322580645</v>
      </c>
      <c r="AC76" s="143" t="s">
        <v>115</v>
      </c>
      <c r="AD76" s="496">
        <v>15000</v>
      </c>
      <c r="AE76" s="333">
        <f>+N76+Q76+W76+AD76</f>
        <v>46000</v>
      </c>
      <c r="AF76" s="447">
        <v>4175</v>
      </c>
      <c r="AG76" s="447">
        <f>+Z76</f>
        <v>6560</v>
      </c>
      <c r="AH76" s="30">
        <f>+AF76/AD76</f>
        <v>0.27833333333333332</v>
      </c>
      <c r="AI76" s="463">
        <f>+AG76/AE76</f>
        <v>0.14260869565217391</v>
      </c>
      <c r="AJ76" s="168">
        <f t="shared" si="28"/>
        <v>0.14260869565217391</v>
      </c>
      <c r="AK76" s="70" t="s">
        <v>435</v>
      </c>
      <c r="AL76" s="270" t="s">
        <v>436</v>
      </c>
      <c r="AM76" s="172"/>
    </row>
    <row r="77" spans="1:39" ht="105" x14ac:dyDescent="0.25">
      <c r="B77" s="576" t="s">
        <v>75</v>
      </c>
      <c r="C77" s="369" t="s">
        <v>111</v>
      </c>
      <c r="D77" s="46" t="s">
        <v>101</v>
      </c>
      <c r="E77" s="59" t="s">
        <v>138</v>
      </c>
      <c r="F77" s="46" t="s">
        <v>211</v>
      </c>
      <c r="G77" s="4" t="s">
        <v>295</v>
      </c>
      <c r="H77" s="46" t="s">
        <v>175</v>
      </c>
      <c r="I77" s="46" t="s">
        <v>178</v>
      </c>
      <c r="J77" s="788" t="s">
        <v>190</v>
      </c>
      <c r="K77" s="59" t="s">
        <v>209</v>
      </c>
      <c r="L77" s="27">
        <v>95</v>
      </c>
      <c r="M77" s="200">
        <v>94</v>
      </c>
      <c r="N77" s="214">
        <v>94</v>
      </c>
      <c r="O77" s="11">
        <v>12</v>
      </c>
      <c r="P77" s="249">
        <f>+(O77-0)/(N77-0)</f>
        <v>0.1276595744680851</v>
      </c>
      <c r="Q77" s="160">
        <v>95</v>
      </c>
      <c r="R77" s="232">
        <v>95</v>
      </c>
      <c r="S77" s="29">
        <v>88</v>
      </c>
      <c r="T77" s="11">
        <v>88</v>
      </c>
      <c r="U77" s="30">
        <f>+(S77-0)/(Q77-0)</f>
        <v>0.9263157894736842</v>
      </c>
      <c r="V77" s="30">
        <f>+(T77-0)/(L77-0)</f>
        <v>0.9263157894736842</v>
      </c>
      <c r="W77" s="161">
        <v>95</v>
      </c>
      <c r="X77" s="36">
        <v>95</v>
      </c>
      <c r="Y77" s="57">
        <v>73</v>
      </c>
      <c r="Z77" s="57">
        <v>73</v>
      </c>
      <c r="AA77" s="281">
        <f>+(Y77-0)/(W77-0)</f>
        <v>0.76842105263157889</v>
      </c>
      <c r="AB77" s="30">
        <f>+(Z77-0)/(L77-0)</f>
        <v>0.76842105263157889</v>
      </c>
      <c r="AC77" s="123" t="s">
        <v>115</v>
      </c>
      <c r="AD77" s="255">
        <v>95</v>
      </c>
      <c r="AE77" s="36">
        <f>+L77</f>
        <v>95</v>
      </c>
      <c r="AF77" s="746">
        <v>7</v>
      </c>
      <c r="AG77" s="162">
        <f>+Z77</f>
        <v>73</v>
      </c>
      <c r="AH77" s="30">
        <f>+AF77/AD77</f>
        <v>7.3684210526315783E-2</v>
      </c>
      <c r="AI77" s="463">
        <f>+AG77/AE77</f>
        <v>0.76842105263157889</v>
      </c>
      <c r="AJ77" s="168">
        <f>+AI77</f>
        <v>0.76842105263157889</v>
      </c>
      <c r="AK77" s="70" t="s">
        <v>430</v>
      </c>
      <c r="AL77" s="270"/>
      <c r="AM77" s="162"/>
    </row>
    <row r="78" spans="1:39" ht="120" x14ac:dyDescent="0.25">
      <c r="A78" s="446" t="s">
        <v>382</v>
      </c>
      <c r="B78" s="576" t="s">
        <v>76</v>
      </c>
      <c r="C78" s="497" t="s">
        <v>111</v>
      </c>
      <c r="D78" s="46" t="s">
        <v>101</v>
      </c>
      <c r="E78" s="59" t="s">
        <v>138</v>
      </c>
      <c r="F78" s="46" t="s">
        <v>211</v>
      </c>
      <c r="G78" s="4" t="s">
        <v>76</v>
      </c>
      <c r="H78" s="46" t="s">
        <v>175</v>
      </c>
      <c r="I78" s="46" t="s">
        <v>178</v>
      </c>
      <c r="J78" s="788" t="s">
        <v>184</v>
      </c>
      <c r="K78" s="59" t="s">
        <v>183</v>
      </c>
      <c r="L78" s="23">
        <v>0.5</v>
      </c>
      <c r="M78" s="201">
        <v>0</v>
      </c>
      <c r="N78" s="436">
        <v>0</v>
      </c>
      <c r="O78" s="435">
        <v>0</v>
      </c>
      <c r="P78" s="123" t="e">
        <f>+(O78-M78)/(N78-M78)</f>
        <v>#DIV/0!</v>
      </c>
      <c r="Q78" s="182">
        <f>+R78-N78</f>
        <v>0.2</v>
      </c>
      <c r="R78" s="228">
        <v>0.2</v>
      </c>
      <c r="S78" s="469">
        <v>0.03</v>
      </c>
      <c r="T78" s="470">
        <v>0.03</v>
      </c>
      <c r="U78" s="30">
        <f>+(S78-M78)/(Q78-M78)</f>
        <v>0.15</v>
      </c>
      <c r="V78" s="30">
        <f>+(T78-M78)/(L78-M78)</f>
        <v>0.06</v>
      </c>
      <c r="W78" s="181">
        <v>0.3</v>
      </c>
      <c r="X78" s="34">
        <v>0.3</v>
      </c>
      <c r="Y78" s="40">
        <v>0.18</v>
      </c>
      <c r="Z78" s="40">
        <v>0.18</v>
      </c>
      <c r="AA78" s="281">
        <f>+(Y78-M78)/(W78-M78)</f>
        <v>0.6</v>
      </c>
      <c r="AB78" s="30">
        <f t="shared" ref="AB78:AB85" si="29">+Z78/$X78</f>
        <v>0.6</v>
      </c>
      <c r="AC78" s="123" t="s">
        <v>115</v>
      </c>
      <c r="AD78" s="252">
        <v>0.5</v>
      </c>
      <c r="AE78" s="245">
        <f>+L78</f>
        <v>0.5</v>
      </c>
      <c r="AF78" s="177">
        <v>0.32</v>
      </c>
      <c r="AG78" s="177">
        <f>+AF78</f>
        <v>0.32</v>
      </c>
      <c r="AH78" s="30">
        <f>(M78-AF78)/(M78-AD78)</f>
        <v>0.64</v>
      </c>
      <c r="AI78" s="463">
        <f>+(M78-AG78)/(M78-AE78)</f>
        <v>0.64</v>
      </c>
      <c r="AJ78" s="168">
        <f t="shared" si="28"/>
        <v>0.64</v>
      </c>
      <c r="AK78" s="70" t="s">
        <v>432</v>
      </c>
      <c r="AL78" s="270"/>
      <c r="AM78" s="177"/>
    </row>
    <row r="79" spans="1:39" ht="105" x14ac:dyDescent="0.25">
      <c r="B79" s="576" t="s">
        <v>77</v>
      </c>
      <c r="C79" s="196" t="s">
        <v>111</v>
      </c>
      <c r="D79" s="46" t="s">
        <v>101</v>
      </c>
      <c r="E79" s="59" t="s">
        <v>138</v>
      </c>
      <c r="F79" s="46" t="s">
        <v>211</v>
      </c>
      <c r="G79" s="4" t="s">
        <v>77</v>
      </c>
      <c r="H79" s="46" t="s">
        <v>175</v>
      </c>
      <c r="I79" s="46" t="s">
        <v>180</v>
      </c>
      <c r="J79" s="788" t="s">
        <v>184</v>
      </c>
      <c r="K79" s="59" t="s">
        <v>210</v>
      </c>
      <c r="L79" s="27">
        <v>282</v>
      </c>
      <c r="M79" s="202">
        <v>0</v>
      </c>
      <c r="N79" s="49">
        <v>103</v>
      </c>
      <c r="O79" s="20">
        <v>121</v>
      </c>
      <c r="P79" s="123">
        <f>+(O79-M79)/(N79-M79)</f>
        <v>1.174757281553398</v>
      </c>
      <c r="Q79" s="160">
        <v>163</v>
      </c>
      <c r="R79" s="232">
        <v>163</v>
      </c>
      <c r="S79" s="29">
        <v>185</v>
      </c>
      <c r="T79" s="20">
        <v>185</v>
      </c>
      <c r="U79" s="30">
        <f>+(S79-M79)/(Q79-M79)</f>
        <v>1.1349693251533743</v>
      </c>
      <c r="V79" s="30">
        <f>+(T79-M79)/(L79-M79)</f>
        <v>0.65602836879432624</v>
      </c>
      <c r="W79" s="161">
        <v>223</v>
      </c>
      <c r="X79" s="36">
        <v>223</v>
      </c>
      <c r="Y79" s="575">
        <v>269</v>
      </c>
      <c r="Z79" s="575">
        <f>+Y79</f>
        <v>269</v>
      </c>
      <c r="AA79" s="281">
        <f>+(Y79-M79)/(W79-M79)</f>
        <v>1.2062780269058295</v>
      </c>
      <c r="AB79" s="30">
        <f t="shared" si="29"/>
        <v>1.2062780269058295</v>
      </c>
      <c r="AC79" s="123" t="s">
        <v>115</v>
      </c>
      <c r="AD79" s="255">
        <v>282</v>
      </c>
      <c r="AE79" s="36">
        <f>+L79</f>
        <v>282</v>
      </c>
      <c r="AF79" s="449">
        <f>+Y79</f>
        <v>269</v>
      </c>
      <c r="AG79" s="449">
        <f>+AF79</f>
        <v>269</v>
      </c>
      <c r="AH79" s="30">
        <f>(M79-AF79)/(M79-AD79)</f>
        <v>0.95390070921985815</v>
      </c>
      <c r="AI79" s="463">
        <f>+(M79-AG79)/(M79-AE79)</f>
        <v>0.95390070921985815</v>
      </c>
      <c r="AJ79" s="168">
        <f t="shared" si="28"/>
        <v>0.95390070921985815</v>
      </c>
      <c r="AK79" s="70" t="s">
        <v>431</v>
      </c>
      <c r="AL79" s="270"/>
      <c r="AM79" s="162"/>
    </row>
    <row r="80" spans="1:39" ht="150" x14ac:dyDescent="0.25">
      <c r="B80" s="576" t="s">
        <v>78</v>
      </c>
      <c r="C80" s="196" t="s">
        <v>110</v>
      </c>
      <c r="D80" s="46" t="s">
        <v>101</v>
      </c>
      <c r="E80" s="59" t="s">
        <v>126</v>
      </c>
      <c r="F80" s="46" t="s">
        <v>211</v>
      </c>
      <c r="G80" s="4" t="s">
        <v>78</v>
      </c>
      <c r="H80" s="46" t="s">
        <v>175</v>
      </c>
      <c r="I80" s="46" t="s">
        <v>177</v>
      </c>
      <c r="J80" s="788" t="s">
        <v>188</v>
      </c>
      <c r="K80" s="59" t="s">
        <v>183</v>
      </c>
      <c r="L80" s="38">
        <v>1</v>
      </c>
      <c r="M80" s="206" t="s">
        <v>260</v>
      </c>
      <c r="N80" s="215">
        <v>0</v>
      </c>
      <c r="O80" s="88">
        <v>0</v>
      </c>
      <c r="P80" s="123" t="s">
        <v>261</v>
      </c>
      <c r="Q80" s="182">
        <v>0.5</v>
      </c>
      <c r="R80" s="148">
        <v>0.5</v>
      </c>
      <c r="S80" s="146">
        <v>0.5</v>
      </c>
      <c r="T80" s="459">
        <f>+O80+S80</f>
        <v>0.5</v>
      </c>
      <c r="U80" s="438">
        <f>+S80/Q80</f>
        <v>1</v>
      </c>
      <c r="V80" s="442">
        <f>+T80/$R80</f>
        <v>1</v>
      </c>
      <c r="W80" s="127">
        <v>0.5</v>
      </c>
      <c r="X80" s="147">
        <f>+R80+W80</f>
        <v>1</v>
      </c>
      <c r="Y80" s="44">
        <v>0.5</v>
      </c>
      <c r="Z80" s="44">
        <f>+T80+Y80</f>
        <v>1</v>
      </c>
      <c r="AA80" s="30">
        <f>+Y80/W80</f>
        <v>1</v>
      </c>
      <c r="AB80" s="30">
        <f t="shared" si="29"/>
        <v>1</v>
      </c>
      <c r="AC80" s="123" t="s">
        <v>115</v>
      </c>
      <c r="AD80" s="256">
        <v>0</v>
      </c>
      <c r="AE80" s="240">
        <f>+X80+AD80</f>
        <v>1</v>
      </c>
      <c r="AF80" s="297">
        <v>0</v>
      </c>
      <c r="AG80" s="297">
        <v>1</v>
      </c>
      <c r="AH80" s="30" t="e">
        <f>+AF80/AD80</f>
        <v>#DIV/0!</v>
      </c>
      <c r="AI80" s="463">
        <f>+AG80/AE80</f>
        <v>1</v>
      </c>
      <c r="AJ80" s="168">
        <f t="shared" si="28"/>
        <v>1</v>
      </c>
      <c r="AK80" s="70" t="s">
        <v>375</v>
      </c>
      <c r="AL80" s="274"/>
      <c r="AM80" s="176"/>
    </row>
    <row r="81" spans="1:39" ht="90.75" thickBot="1" x14ac:dyDescent="0.3">
      <c r="A81" s="446" t="s">
        <v>383</v>
      </c>
      <c r="B81" s="576" t="s">
        <v>79</v>
      </c>
      <c r="C81" s="591" t="s">
        <v>111</v>
      </c>
      <c r="D81" s="113" t="s">
        <v>101</v>
      </c>
      <c r="E81" s="114" t="s">
        <v>126</v>
      </c>
      <c r="F81" s="113" t="s">
        <v>211</v>
      </c>
      <c r="G81" s="791" t="s">
        <v>79</v>
      </c>
      <c r="H81" s="113" t="s">
        <v>175</v>
      </c>
      <c r="I81" s="113" t="s">
        <v>180</v>
      </c>
      <c r="J81" s="789" t="s">
        <v>184</v>
      </c>
      <c r="K81" s="114" t="s">
        <v>183</v>
      </c>
      <c r="L81" s="116">
        <v>0.84</v>
      </c>
      <c r="M81" s="207">
        <v>0.72</v>
      </c>
      <c r="N81" s="92">
        <v>0.78</v>
      </c>
      <c r="O81" s="58">
        <v>0.77249999999999996</v>
      </c>
      <c r="P81" s="123">
        <f>+(O81-M81)/(N81-M81)</f>
        <v>0.87499999999999911</v>
      </c>
      <c r="Q81" s="183">
        <v>0.79</v>
      </c>
      <c r="R81" s="234">
        <v>0.79</v>
      </c>
      <c r="S81" s="119">
        <v>0.82589999999999997</v>
      </c>
      <c r="T81" s="120">
        <v>0.82589999999999997</v>
      </c>
      <c r="U81" s="30">
        <f>+(S81-M81)/(Q81-M81)</f>
        <v>1.5128571428571413</v>
      </c>
      <c r="V81" s="30">
        <f>+(T81-M81)/(L81-M81)</f>
        <v>0.88249999999999995</v>
      </c>
      <c r="W81" s="441">
        <v>0.81</v>
      </c>
      <c r="X81" s="118">
        <v>0.81</v>
      </c>
      <c r="Y81" s="466">
        <f>+S81</f>
        <v>0.82589999999999997</v>
      </c>
      <c r="Z81" s="466">
        <f>+Y81</f>
        <v>0.82589999999999997</v>
      </c>
      <c r="AA81" s="281">
        <f>+(Y81-M81)/(W81-M81)</f>
        <v>1.1766666666666656</v>
      </c>
      <c r="AB81" s="117">
        <f t="shared" si="29"/>
        <v>1.0196296296296294</v>
      </c>
      <c r="AC81" s="124" t="s">
        <v>313</v>
      </c>
      <c r="AD81" s="268">
        <v>0.84</v>
      </c>
      <c r="AE81" s="164">
        <f>+L81</f>
        <v>0.84</v>
      </c>
      <c r="AF81" s="471">
        <f>+Y81</f>
        <v>0.82589999999999997</v>
      </c>
      <c r="AG81" s="471">
        <f>+AF81</f>
        <v>0.82589999999999997</v>
      </c>
      <c r="AH81" s="30">
        <f>(M81-AF81)/(M81-AD81)</f>
        <v>0.88249999999999995</v>
      </c>
      <c r="AI81" s="463">
        <f>+(M81-AG81)/(M81-AE81)</f>
        <v>0.88249999999999995</v>
      </c>
      <c r="AJ81" s="168">
        <f t="shared" si="28"/>
        <v>0.88249999999999995</v>
      </c>
      <c r="AK81" s="77" t="s">
        <v>376</v>
      </c>
      <c r="AL81" s="275"/>
      <c r="AM81" s="247"/>
    </row>
    <row r="82" spans="1:39" ht="375" x14ac:dyDescent="0.25">
      <c r="A82" s="446" t="s">
        <v>310</v>
      </c>
      <c r="B82" s="446" t="s">
        <v>70</v>
      </c>
      <c r="C82" s="456" t="s">
        <v>112</v>
      </c>
      <c r="D82" s="46" t="s">
        <v>99</v>
      </c>
      <c r="E82" s="59" t="s">
        <v>131</v>
      </c>
      <c r="F82" s="46" t="s">
        <v>211</v>
      </c>
      <c r="G82" s="455" t="s">
        <v>70</v>
      </c>
      <c r="H82" s="46" t="s">
        <v>175</v>
      </c>
      <c r="I82" s="46" t="s">
        <v>177</v>
      </c>
      <c r="J82" s="788" t="s">
        <v>188</v>
      </c>
      <c r="K82" s="59" t="s">
        <v>208</v>
      </c>
      <c r="L82" s="29">
        <v>8000</v>
      </c>
      <c r="M82" s="200">
        <v>1300</v>
      </c>
      <c r="N82" s="49">
        <v>1500</v>
      </c>
      <c r="O82" s="29">
        <v>0</v>
      </c>
      <c r="P82" s="123">
        <f>+O82/N82</f>
        <v>0</v>
      </c>
      <c r="Q82" s="161">
        <v>2000</v>
      </c>
      <c r="R82" s="144">
        <f>+N82+Q82</f>
        <v>3500</v>
      </c>
      <c r="S82" s="27">
        <v>1500</v>
      </c>
      <c r="T82" s="18">
        <f>+O82+S82</f>
        <v>1500</v>
      </c>
      <c r="U82" s="438">
        <f>+S82/Q82</f>
        <v>0.75</v>
      </c>
      <c r="V82" s="442">
        <f>+T82/$R82</f>
        <v>0.42857142857142855</v>
      </c>
      <c r="W82" s="56">
        <v>2000</v>
      </c>
      <c r="X82" s="36">
        <f>+R82+W82</f>
        <v>5500</v>
      </c>
      <c r="Y82" s="374">
        <v>1390</v>
      </c>
      <c r="Z82" s="63">
        <f>+T82+Y82</f>
        <v>2890</v>
      </c>
      <c r="AA82" s="30">
        <f>+Y82/W82</f>
        <v>0.69499999999999995</v>
      </c>
      <c r="AB82" s="30">
        <f t="shared" si="29"/>
        <v>0.52545454545454551</v>
      </c>
      <c r="AC82" s="123" t="s">
        <v>115</v>
      </c>
      <c r="AD82" s="254">
        <v>2500</v>
      </c>
      <c r="AE82" s="35">
        <f>+X82+AD82</f>
        <v>8000</v>
      </c>
      <c r="AF82" s="447">
        <v>1015</v>
      </c>
      <c r="AG82" s="447">
        <f>+Z82</f>
        <v>2890</v>
      </c>
      <c r="AH82" s="30">
        <f t="shared" ref="AH82" si="30">+AF82/AD82</f>
        <v>0.40600000000000003</v>
      </c>
      <c r="AI82" s="463">
        <f>+AG82/AE82</f>
        <v>0.36125000000000002</v>
      </c>
      <c r="AJ82" s="168">
        <f t="shared" si="28"/>
        <v>0.36125000000000002</v>
      </c>
      <c r="AK82" s="70" t="s">
        <v>422</v>
      </c>
      <c r="AL82" s="270"/>
    </row>
    <row r="83" spans="1:39" ht="90" x14ac:dyDescent="0.25">
      <c r="A83" s="141"/>
      <c r="B83" s="474" t="s">
        <v>307</v>
      </c>
      <c r="C83" s="196" t="s">
        <v>110</v>
      </c>
      <c r="D83" s="46" t="s">
        <v>101</v>
      </c>
      <c r="E83" s="59" t="s">
        <v>137</v>
      </c>
      <c r="F83" s="46" t="s">
        <v>211</v>
      </c>
      <c r="G83" s="455" t="s">
        <v>307</v>
      </c>
      <c r="H83" s="59" t="s">
        <v>179</v>
      </c>
      <c r="I83" s="46" t="s">
        <v>178</v>
      </c>
      <c r="J83" s="788" t="s">
        <v>182</v>
      </c>
      <c r="K83" s="59" t="s">
        <v>183</v>
      </c>
      <c r="L83" s="13">
        <v>0.85</v>
      </c>
      <c r="M83" s="206">
        <v>0</v>
      </c>
      <c r="N83" s="224">
        <v>1</v>
      </c>
      <c r="O83" s="458">
        <v>0</v>
      </c>
      <c r="P83" s="123">
        <f>+O83/N83</f>
        <v>0</v>
      </c>
      <c r="Q83" s="227">
        <v>1</v>
      </c>
      <c r="R83" s="228">
        <v>1</v>
      </c>
      <c r="S83" s="13">
        <v>0.04</v>
      </c>
      <c r="T83" s="13">
        <v>0.04</v>
      </c>
      <c r="U83" s="30">
        <f>+S83/Q83</f>
        <v>0.04</v>
      </c>
      <c r="V83" s="123">
        <f>+T83/$R83</f>
        <v>0.04</v>
      </c>
      <c r="W83" s="151">
        <v>0.8</v>
      </c>
      <c r="X83" s="31">
        <v>0.8</v>
      </c>
      <c r="Y83" s="44">
        <v>0.74</v>
      </c>
      <c r="Z83" s="44">
        <f>+Y83</f>
        <v>0.74</v>
      </c>
      <c r="AA83" s="30">
        <f>+Y83/W83</f>
        <v>0.92499999999999993</v>
      </c>
      <c r="AB83" s="30">
        <f t="shared" si="29"/>
        <v>0.92499999999999993</v>
      </c>
      <c r="AC83" s="123" t="s">
        <v>115</v>
      </c>
      <c r="AD83" s="267">
        <v>0.85</v>
      </c>
      <c r="AE83" s="26">
        <f>+L83</f>
        <v>0.85</v>
      </c>
      <c r="AF83" s="445">
        <f>+Z83</f>
        <v>0.74</v>
      </c>
      <c r="AG83" s="445">
        <f>+AF83</f>
        <v>0.74</v>
      </c>
      <c r="AH83" s="30">
        <f>+AF83/AD83</f>
        <v>0.87058823529411766</v>
      </c>
      <c r="AI83" s="463">
        <f>+AG83/AE83</f>
        <v>0.87058823529411766</v>
      </c>
      <c r="AJ83" s="168">
        <f t="shared" si="28"/>
        <v>0.87058823529411766</v>
      </c>
      <c r="AK83" s="70" t="s">
        <v>375</v>
      </c>
      <c r="AL83" s="270"/>
    </row>
    <row r="84" spans="1:39" ht="120" x14ac:dyDescent="0.25">
      <c r="A84" s="141"/>
      <c r="B84" s="474" t="s">
        <v>73</v>
      </c>
      <c r="C84" s="196" t="s">
        <v>110</v>
      </c>
      <c r="D84" s="46" t="s">
        <v>101</v>
      </c>
      <c r="E84" s="59" t="s">
        <v>137</v>
      </c>
      <c r="F84" s="46" t="s">
        <v>211</v>
      </c>
      <c r="G84" s="455" t="s">
        <v>73</v>
      </c>
      <c r="H84" s="59" t="s">
        <v>179</v>
      </c>
      <c r="I84" s="46" t="s">
        <v>178</v>
      </c>
      <c r="J84" s="788" t="s">
        <v>182</v>
      </c>
      <c r="K84" s="59" t="s">
        <v>183</v>
      </c>
      <c r="L84" s="38">
        <v>1</v>
      </c>
      <c r="M84" s="206">
        <v>0</v>
      </c>
      <c r="N84" s="225">
        <v>1</v>
      </c>
      <c r="O84" s="87">
        <v>0</v>
      </c>
      <c r="P84" s="123">
        <f>+O84/N84</f>
        <v>0</v>
      </c>
      <c r="Q84" s="227">
        <v>1</v>
      </c>
      <c r="R84" s="228">
        <v>1</v>
      </c>
      <c r="S84" s="38">
        <v>7.0000000000000007E-2</v>
      </c>
      <c r="T84" s="38">
        <v>7.0000000000000007E-2</v>
      </c>
      <c r="U84" s="30">
        <f>+S84/Q84</f>
        <v>7.0000000000000007E-2</v>
      </c>
      <c r="V84" s="123">
        <f>+T84/$R84</f>
        <v>7.0000000000000007E-2</v>
      </c>
      <c r="W84" s="152">
        <v>1</v>
      </c>
      <c r="X84" s="40">
        <v>1</v>
      </c>
      <c r="Y84" s="44">
        <v>0.2</v>
      </c>
      <c r="Z84" s="44">
        <v>0.2</v>
      </c>
      <c r="AA84" s="30">
        <f>+Y84/W84</f>
        <v>0.2</v>
      </c>
      <c r="AB84" s="30">
        <f t="shared" si="29"/>
        <v>0.2</v>
      </c>
      <c r="AC84" s="123" t="s">
        <v>115</v>
      </c>
      <c r="AD84" s="267">
        <v>1</v>
      </c>
      <c r="AE84" s="150">
        <f>+L84</f>
        <v>1</v>
      </c>
      <c r="AF84" s="176">
        <v>0.24</v>
      </c>
      <c r="AG84" s="176">
        <f>+AF84</f>
        <v>0.24</v>
      </c>
      <c r="AH84" s="30">
        <f>+AF84/AD84</f>
        <v>0.24</v>
      </c>
      <c r="AI84" s="463">
        <f>+AG84/AE84</f>
        <v>0.24</v>
      </c>
      <c r="AJ84" s="168">
        <f t="shared" si="28"/>
        <v>0.24</v>
      </c>
      <c r="AK84" s="70" t="s">
        <v>425</v>
      </c>
      <c r="AL84" s="270"/>
      <c r="AM84" s="176"/>
    </row>
    <row r="85" spans="1:39" ht="120" x14ac:dyDescent="0.25">
      <c r="B85" s="446" t="s">
        <v>74</v>
      </c>
      <c r="C85" s="196" t="s">
        <v>110</v>
      </c>
      <c r="D85" s="46" t="s">
        <v>101</v>
      </c>
      <c r="E85" s="59" t="s">
        <v>137</v>
      </c>
      <c r="F85" s="46" t="s">
        <v>211</v>
      </c>
      <c r="G85" s="455" t="s">
        <v>74</v>
      </c>
      <c r="H85" s="59" t="s">
        <v>179</v>
      </c>
      <c r="I85" s="46" t="s">
        <v>180</v>
      </c>
      <c r="J85" s="788" t="s">
        <v>182</v>
      </c>
      <c r="K85" s="59" t="s">
        <v>183</v>
      </c>
      <c r="L85" s="38">
        <v>1</v>
      </c>
      <c r="M85" s="206" t="s">
        <v>260</v>
      </c>
      <c r="N85" s="225">
        <v>1</v>
      </c>
      <c r="O85" s="45">
        <v>0.23</v>
      </c>
      <c r="P85" s="123">
        <f t="shared" ref="P85" si="31">+O85/N85</f>
        <v>0.23</v>
      </c>
      <c r="Q85" s="227">
        <v>1</v>
      </c>
      <c r="R85" s="228">
        <v>1</v>
      </c>
      <c r="S85" s="45">
        <v>0.24</v>
      </c>
      <c r="T85" s="45">
        <v>0.24</v>
      </c>
      <c r="U85" s="437">
        <f>+S85/Q85</f>
        <v>0.24</v>
      </c>
      <c r="V85" s="442">
        <f>+T85/$R85</f>
        <v>0.24</v>
      </c>
      <c r="W85" s="152">
        <v>1</v>
      </c>
      <c r="X85" s="40">
        <v>1</v>
      </c>
      <c r="Y85" s="457">
        <f>+S85</f>
        <v>0.24</v>
      </c>
      <c r="Z85" s="457">
        <f>+Y85</f>
        <v>0.24</v>
      </c>
      <c r="AA85" s="30">
        <f>+Y85/W85</f>
        <v>0.24</v>
      </c>
      <c r="AB85" s="30">
        <f t="shared" si="29"/>
        <v>0.24</v>
      </c>
      <c r="AC85" s="123" t="s">
        <v>313</v>
      </c>
      <c r="AD85" s="267">
        <v>1</v>
      </c>
      <c r="AE85" s="150">
        <f>+L85</f>
        <v>1</v>
      </c>
      <c r="AF85" s="468">
        <f>+Y85</f>
        <v>0.24</v>
      </c>
      <c r="AG85" s="468">
        <f>+AF85</f>
        <v>0.24</v>
      </c>
      <c r="AH85" s="30">
        <f t="shared" ref="AH85" si="32">+AF85/AD85</f>
        <v>0.24</v>
      </c>
      <c r="AI85" s="463">
        <f t="shared" ref="AI85" si="33">+AG85/AE85</f>
        <v>0.24</v>
      </c>
      <c r="AJ85" s="168">
        <f t="shared" si="28"/>
        <v>0.24</v>
      </c>
      <c r="AK85" s="70" t="s">
        <v>415</v>
      </c>
      <c r="AL85" s="270" t="s">
        <v>98</v>
      </c>
      <c r="AM85" s="176"/>
    </row>
    <row r="86" spans="1:39" x14ac:dyDescent="0.25">
      <c r="M86" s="572"/>
      <c r="N86" s="293"/>
      <c r="O86" s="587"/>
      <c r="AD86" s="574"/>
      <c r="AF86" s="571"/>
      <c r="AI86" s="672"/>
      <c r="AJ86" s="672"/>
      <c r="AK86" s="672"/>
    </row>
    <row r="87" spans="1:39" x14ac:dyDescent="0.25">
      <c r="M87" s="572"/>
      <c r="T87" s="292"/>
      <c r="Z87" s="759"/>
      <c r="AF87" s="573"/>
      <c r="AG87" s="368"/>
      <c r="AI87" s="672"/>
      <c r="AJ87" s="672"/>
      <c r="AK87" s="672"/>
    </row>
    <row r="88" spans="1:39" x14ac:dyDescent="0.25">
      <c r="L88" s="293"/>
      <c r="O88" s="293"/>
      <c r="AF88" s="571"/>
      <c r="AI88" s="672"/>
      <c r="AJ88" s="672"/>
      <c r="AK88" s="672"/>
    </row>
    <row r="89" spans="1:39" x14ac:dyDescent="0.25">
      <c r="AE89" s="697"/>
      <c r="AF89" s="573"/>
      <c r="AG89" s="754"/>
      <c r="AI89" s="672"/>
      <c r="AJ89" s="672"/>
      <c r="AK89" s="672"/>
    </row>
    <row r="91" spans="1:39" x14ac:dyDescent="0.25">
      <c r="AG91" s="754"/>
      <c r="AI91" s="755"/>
    </row>
  </sheetData>
  <autoFilter ref="A7:AR85" xr:uid="{F270E47E-944F-4767-B7BF-1BF9B0E6485B}"/>
  <mergeCells count="4">
    <mergeCell ref="N6:P6"/>
    <mergeCell ref="Q6:V6"/>
    <mergeCell ref="W6:AC6"/>
    <mergeCell ref="AD6:AJ6"/>
  </mergeCells>
  <conditionalFormatting sqref="T64">
    <cfRule type="cellIs" dxfId="216" priority="106" operator="lessThan">
      <formula>#REF!</formula>
    </cfRule>
  </conditionalFormatting>
  <conditionalFormatting sqref="O13 R17 R20:R21 R23:R24 R26 R28 R30:R33 R41 R45 R47 R49:R50 R76:R77 R79 Q13:R13">
    <cfRule type="cellIs" dxfId="215" priority="134" operator="lessThan">
      <formula>#REF!</formula>
    </cfRule>
    <cfRule type="cellIs" dxfId="214" priority="173" operator="lessThan">
      <formula>#REF!</formula>
    </cfRule>
    <cfRule type="cellIs" dxfId="213" priority="174" operator="lessThan">
      <formula>#REF!</formula>
    </cfRule>
  </conditionalFormatting>
  <conditionalFormatting sqref="O24">
    <cfRule type="cellIs" dxfId="212" priority="172" operator="lessThan">
      <formula>#REF!</formula>
    </cfRule>
  </conditionalFormatting>
  <conditionalFormatting sqref="O26">
    <cfRule type="cellIs" dxfId="211" priority="133" operator="lessThan">
      <formula>#REF!</formula>
    </cfRule>
    <cfRule type="cellIs" dxfId="210" priority="171" operator="lessThan">
      <formula>#REF!</formula>
    </cfRule>
  </conditionalFormatting>
  <conditionalFormatting sqref="O31">
    <cfRule type="cellIs" dxfId="209" priority="170" operator="lessThan">
      <formula>#REF!</formula>
    </cfRule>
  </conditionalFormatting>
  <conditionalFormatting sqref="O33">
    <cfRule type="cellIs" dxfId="208" priority="169" operator="lessThan">
      <formula>#REF!</formula>
    </cfRule>
  </conditionalFormatting>
  <conditionalFormatting sqref="O46">
    <cfRule type="cellIs" dxfId="207" priority="163" operator="lessThan">
      <formula>#REF!</formula>
    </cfRule>
  </conditionalFormatting>
  <conditionalFormatting sqref="O35">
    <cfRule type="cellIs" dxfId="206" priority="168" operator="lessThan">
      <formula>#REF!</formula>
    </cfRule>
  </conditionalFormatting>
  <conditionalFormatting sqref="O51">
    <cfRule type="cellIs" dxfId="205" priority="159" operator="lessThan">
      <formula>#REF!</formula>
    </cfRule>
  </conditionalFormatting>
  <conditionalFormatting sqref="O52">
    <cfRule type="cellIs" dxfId="204" priority="158" operator="lessThan">
      <formula>#REF!</formula>
    </cfRule>
  </conditionalFormatting>
  <conditionalFormatting sqref="O39">
    <cfRule type="cellIs" dxfId="203" priority="167" operator="lessThan">
      <formula>#REF!</formula>
    </cfRule>
  </conditionalFormatting>
  <conditionalFormatting sqref="O40">
    <cfRule type="cellIs" dxfId="202" priority="166" operator="lessThan">
      <formula>#REF!</formula>
    </cfRule>
  </conditionalFormatting>
  <conditionalFormatting sqref="O41">
    <cfRule type="cellIs" dxfId="201" priority="165" operator="lessThan">
      <formula>#REF!</formula>
    </cfRule>
  </conditionalFormatting>
  <conditionalFormatting sqref="O56">
    <cfRule type="cellIs" dxfId="200" priority="156" operator="lessThan">
      <formula>#REF!</formula>
    </cfRule>
  </conditionalFormatting>
  <conditionalFormatting sqref="O57">
    <cfRule type="cellIs" dxfId="199" priority="155" operator="lessThan">
      <formula>#REF!</formula>
    </cfRule>
  </conditionalFormatting>
  <conditionalFormatting sqref="O58">
    <cfRule type="cellIs" dxfId="198" priority="154" operator="lessThan">
      <formula>#REF!</formula>
    </cfRule>
  </conditionalFormatting>
  <conditionalFormatting sqref="O45">
    <cfRule type="cellIs" dxfId="197" priority="164" operator="lessThan">
      <formula>#REF!</formula>
    </cfRule>
  </conditionalFormatting>
  <conditionalFormatting sqref="O47">
    <cfRule type="cellIs" dxfId="196" priority="162" operator="lessThan">
      <formula>#REF!</formula>
    </cfRule>
  </conditionalFormatting>
  <conditionalFormatting sqref="O62">
    <cfRule type="cellIs" dxfId="195" priority="150" operator="lessThan">
      <formula>#REF!</formula>
    </cfRule>
  </conditionalFormatting>
  <conditionalFormatting sqref="O49">
    <cfRule type="cellIs" dxfId="194" priority="161" operator="lessThan">
      <formula>#REF!</formula>
    </cfRule>
  </conditionalFormatting>
  <conditionalFormatting sqref="O53">
    <cfRule type="cellIs" dxfId="193" priority="157" operator="lessThan">
      <formula>#REF!</formula>
    </cfRule>
  </conditionalFormatting>
  <conditionalFormatting sqref="O60">
    <cfRule type="cellIs" dxfId="192" priority="152" operator="lessThan">
      <formula>#REF!</formula>
    </cfRule>
  </conditionalFormatting>
  <conditionalFormatting sqref="O59">
    <cfRule type="cellIs" dxfId="191" priority="132" operator="lessThan">
      <formula>#REF!</formula>
    </cfRule>
    <cfRule type="cellIs" dxfId="190" priority="153" operator="lessThan">
      <formula>#REF!</formula>
    </cfRule>
  </conditionalFormatting>
  <conditionalFormatting sqref="O61">
    <cfRule type="cellIs" dxfId="189" priority="151" operator="lessThan">
      <formula>#REF!</formula>
    </cfRule>
  </conditionalFormatting>
  <conditionalFormatting sqref="O63">
    <cfRule type="cellIs" dxfId="188" priority="149" operator="lessThan">
      <formula>#REF!</formula>
    </cfRule>
  </conditionalFormatting>
  <conditionalFormatting sqref="O64">
    <cfRule type="cellIs" dxfId="187" priority="148" operator="lessThan">
      <formula>#REF!</formula>
    </cfRule>
  </conditionalFormatting>
  <conditionalFormatting sqref="O65">
    <cfRule type="cellIs" dxfId="186" priority="147" operator="lessThan">
      <formula>#REF!</formula>
    </cfRule>
  </conditionalFormatting>
  <conditionalFormatting sqref="O66">
    <cfRule type="cellIs" dxfId="185" priority="146" operator="lessThan">
      <formula>#REF!</formula>
    </cfRule>
  </conditionalFormatting>
  <conditionalFormatting sqref="O67">
    <cfRule type="cellIs" dxfId="184" priority="145" operator="lessThan">
      <formula>#REF!</formula>
    </cfRule>
  </conditionalFormatting>
  <conditionalFormatting sqref="O68">
    <cfRule type="cellIs" dxfId="183" priority="144" operator="lessThan">
      <formula>#REF!</formula>
    </cfRule>
  </conditionalFormatting>
  <conditionalFormatting sqref="O69">
    <cfRule type="cellIs" dxfId="182" priority="143" operator="lessThan">
      <formula>#REF!</formula>
    </cfRule>
  </conditionalFormatting>
  <conditionalFormatting sqref="O70">
    <cfRule type="cellIs" dxfId="181" priority="142" operator="lessThan">
      <formula>#REF!</formula>
    </cfRule>
  </conditionalFormatting>
  <conditionalFormatting sqref="O71">
    <cfRule type="cellIs" dxfId="180" priority="141" operator="lessThan">
      <formula>#REF!</formula>
    </cfRule>
  </conditionalFormatting>
  <conditionalFormatting sqref="O72">
    <cfRule type="cellIs" dxfId="179" priority="140" operator="lessThan">
      <formula>#REF!</formula>
    </cfRule>
  </conditionalFormatting>
  <conditionalFormatting sqref="O76">
    <cfRule type="cellIs" dxfId="178" priority="139" operator="lessThan">
      <formula>#REF!</formula>
    </cfRule>
  </conditionalFormatting>
  <conditionalFormatting sqref="O83">
    <cfRule type="cellIs" dxfId="177" priority="137" operator="lessThan">
      <formula>#REF!</formula>
    </cfRule>
    <cfRule type="cellIs" dxfId="176" priority="138" operator="lessThan">
      <formula>#REF!</formula>
    </cfRule>
  </conditionalFormatting>
  <conditionalFormatting sqref="O84">
    <cfRule type="cellIs" dxfId="175" priority="136" operator="lessThan">
      <formula>#REF!</formula>
    </cfRule>
  </conditionalFormatting>
  <conditionalFormatting sqref="O80">
    <cfRule type="cellIs" dxfId="174" priority="135" operator="lessThan">
      <formula>#REF!</formula>
    </cfRule>
  </conditionalFormatting>
  <conditionalFormatting sqref="T59">
    <cfRule type="cellIs" dxfId="173" priority="131" operator="greaterThan">
      <formula>"S58"</formula>
    </cfRule>
  </conditionalFormatting>
  <conditionalFormatting sqref="T62">
    <cfRule type="cellIs" dxfId="172" priority="130" operator="lessThan">
      <formula>#REF!</formula>
    </cfRule>
  </conditionalFormatting>
  <conditionalFormatting sqref="T66">
    <cfRule type="cellIs" dxfId="171" priority="129" operator="lessThan">
      <formula>#REF!</formula>
    </cfRule>
  </conditionalFormatting>
  <conditionalFormatting sqref="T65">
    <cfRule type="cellIs" dxfId="170" priority="128" operator="lessThan">
      <formula>#REF!</formula>
    </cfRule>
  </conditionalFormatting>
  <conditionalFormatting sqref="T67">
    <cfRule type="cellIs" dxfId="169" priority="127" operator="greaterThan">
      <formula>#REF!</formula>
    </cfRule>
  </conditionalFormatting>
  <conditionalFormatting sqref="T68">
    <cfRule type="cellIs" dxfId="168" priority="126" operator="lessThan">
      <formula>#REF!</formula>
    </cfRule>
  </conditionalFormatting>
  <conditionalFormatting sqref="T69">
    <cfRule type="cellIs" dxfId="167" priority="125" operator="lessThan">
      <formula>#REF!</formula>
    </cfRule>
  </conditionalFormatting>
  <conditionalFormatting sqref="T70">
    <cfRule type="cellIs" dxfId="166" priority="124" operator="lessThan">
      <formula>#REF!</formula>
    </cfRule>
  </conditionalFormatting>
  <conditionalFormatting sqref="T72">
    <cfRule type="cellIs" dxfId="165" priority="122" operator="greaterThan">
      <formula>#REF!</formula>
    </cfRule>
  </conditionalFormatting>
  <conditionalFormatting sqref="T73">
    <cfRule type="cellIs" dxfId="164" priority="121" operator="lessThan">
      <formula>#REF!</formula>
    </cfRule>
  </conditionalFormatting>
  <conditionalFormatting sqref="S82">
    <cfRule type="cellIs" dxfId="163" priority="120" operator="lessThan">
      <formula>#REF!</formula>
    </cfRule>
  </conditionalFormatting>
  <conditionalFormatting sqref="O10 R10">
    <cfRule type="cellIs" dxfId="162" priority="118" operator="lessThan">
      <formula>#REF!</formula>
    </cfRule>
    <cfRule type="cellIs" dxfId="161" priority="119" operator="lessThan">
      <formula>#REF!</formula>
    </cfRule>
  </conditionalFormatting>
  <conditionalFormatting sqref="T76">
    <cfRule type="cellIs" dxfId="160" priority="117" operator="lessThan">
      <formula>#REF!</formula>
    </cfRule>
  </conditionalFormatting>
  <conditionalFormatting sqref="S51:T51 S52:S73">
    <cfRule type="cellIs" dxfId="159" priority="116" operator="lessThan">
      <formula>#REF!</formula>
    </cfRule>
  </conditionalFormatting>
  <conditionalFormatting sqref="T52">
    <cfRule type="cellIs" dxfId="158" priority="115" operator="lessThan">
      <formula>#REF!</formula>
    </cfRule>
  </conditionalFormatting>
  <conditionalFormatting sqref="Y52">
    <cfRule type="cellIs" dxfId="157" priority="114" operator="lessThan">
      <formula>#REF!</formula>
    </cfRule>
  </conditionalFormatting>
  <conditionalFormatting sqref="T53">
    <cfRule type="cellIs" dxfId="156" priority="113" operator="lessThan">
      <formula>#REF!</formula>
    </cfRule>
  </conditionalFormatting>
  <conditionalFormatting sqref="L55">
    <cfRule type="cellIs" dxfId="155" priority="112" operator="lessThan">
      <formula>#REF!</formula>
    </cfRule>
  </conditionalFormatting>
  <conditionalFormatting sqref="O55">
    <cfRule type="cellIs" dxfId="154" priority="111" operator="lessThan">
      <formula>#REF!</formula>
    </cfRule>
  </conditionalFormatting>
  <conditionalFormatting sqref="T57">
    <cfRule type="cellIs" dxfId="153" priority="110" operator="lessThan">
      <formula>#REF!</formula>
    </cfRule>
  </conditionalFormatting>
  <conditionalFormatting sqref="T60">
    <cfRule type="cellIs" dxfId="152" priority="109" operator="lessThan">
      <formula>#REF!</formula>
    </cfRule>
  </conditionalFormatting>
  <conditionalFormatting sqref="T61">
    <cfRule type="cellIs" dxfId="151" priority="108" operator="lessThan">
      <formula>#REF!</formula>
    </cfRule>
  </conditionalFormatting>
  <conditionalFormatting sqref="T63">
    <cfRule type="cellIs" dxfId="150" priority="107" operator="lessThan">
      <formula>#REF!</formula>
    </cfRule>
  </conditionalFormatting>
  <conditionalFormatting sqref="Y76">
    <cfRule type="cellIs" dxfId="149" priority="105" operator="lessThan">
      <formula>#REF!</formula>
    </cfRule>
  </conditionalFormatting>
  <conditionalFormatting sqref="U8:V85">
    <cfRule type="iconSet" priority="104">
      <iconSet iconSet="3TrafficLights2">
        <cfvo type="percent" val="0"/>
        <cfvo type="num" val="0.98"/>
        <cfvo type="num" val="1"/>
      </iconSet>
    </cfRule>
  </conditionalFormatting>
  <conditionalFormatting sqref="AB11:AC11 AB16:AC16 AB32:AC32 AB41:AC41 AA60:AC62 AB59:AC59 AB63:AC63 AA8:AC10 AA42:AC58 AA64:AC85 AA12:AC15 AA33:AC40 AA17:AC31">
    <cfRule type="iconSet" priority="103">
      <iconSet iconSet="3TrafficLights2">
        <cfvo type="percent" val="0"/>
        <cfvo type="num" val="0.98"/>
        <cfvo type="num" val="1"/>
      </iconSet>
    </cfRule>
  </conditionalFormatting>
  <conditionalFormatting sqref="Z52">
    <cfRule type="cellIs" dxfId="148" priority="102" operator="lessThan">
      <formula>#REF!</formula>
    </cfRule>
  </conditionalFormatting>
  <conditionalFormatting sqref="P8:P85">
    <cfRule type="iconSet" priority="175">
      <iconSet iconSet="3TrafficLights2">
        <cfvo type="percent" val="0"/>
        <cfvo type="num" val="0.98"/>
        <cfvo type="num" val="1"/>
      </iconSet>
    </cfRule>
  </conditionalFormatting>
  <conditionalFormatting sqref="AE55:AG55">
    <cfRule type="cellIs" dxfId="147" priority="101" operator="lessThan">
      <formula>#REF!</formula>
    </cfRule>
  </conditionalFormatting>
  <conditionalFormatting sqref="AK55:AM55">
    <cfRule type="cellIs" dxfId="146" priority="100" operator="lessThan">
      <formula>#REF!</formula>
    </cfRule>
  </conditionalFormatting>
  <conditionalFormatting sqref="AH33:AI33">
    <cfRule type="iconSet" priority="98">
      <iconSet iconSet="3TrafficLights2">
        <cfvo type="percent" val="0"/>
        <cfvo type="num" val="0.98"/>
        <cfvo type="num" val="1"/>
      </iconSet>
    </cfRule>
  </conditionalFormatting>
  <conditionalFormatting sqref="AH64:AI64">
    <cfRule type="iconSet" priority="97">
      <iconSet iconSet="3TrafficLights2">
        <cfvo type="percent" val="0"/>
        <cfvo type="num" val="0.98"/>
        <cfvo type="num" val="1"/>
      </iconSet>
    </cfRule>
  </conditionalFormatting>
  <conditionalFormatting sqref="AH82:AI82 AH71:AI71 AH13:AI13 AH80:AI80">
    <cfRule type="iconSet" priority="96">
      <iconSet iconSet="3TrafficLights2">
        <cfvo type="percent" val="0"/>
        <cfvo type="num" val="0.98"/>
        <cfvo type="num" val="1"/>
      </iconSet>
    </cfRule>
  </conditionalFormatting>
  <conditionalFormatting sqref="AA11 AA16 AA32 AA41 AA59 AA63">
    <cfRule type="iconSet" priority="95">
      <iconSet iconSet="3TrafficLights2">
        <cfvo type="percent" val="0"/>
        <cfvo type="num" val="0.98"/>
        <cfvo type="num" val="1"/>
      </iconSet>
    </cfRule>
  </conditionalFormatting>
  <conditionalFormatting sqref="AH11 AH16 AH32 AH41 AH59 AH63">
    <cfRule type="iconSet" priority="94">
      <iconSet iconSet="3TrafficLights2">
        <cfvo type="percent" val="0"/>
        <cfvo type="num" val="0.98"/>
        <cfvo type="num" val="1"/>
      </iconSet>
    </cfRule>
  </conditionalFormatting>
  <conditionalFormatting sqref="AI11 AI16 AI32 AI41 AI59 AI63">
    <cfRule type="iconSet" priority="93">
      <iconSet iconSet="3TrafficLights2">
        <cfvo type="percent" val="0"/>
        <cfvo type="num" val="0.98"/>
        <cfvo type="num" val="1"/>
      </iconSet>
    </cfRule>
  </conditionalFormatting>
  <conditionalFormatting sqref="O50">
    <cfRule type="cellIs" dxfId="145" priority="92" operator="lessThan">
      <formula>#REF!</formula>
    </cfRule>
  </conditionalFormatting>
  <conditionalFormatting sqref="AH37">
    <cfRule type="iconSet" priority="90">
      <iconSet iconSet="3TrafficLights2">
        <cfvo type="percent" val="0"/>
        <cfvo type="num" val="0.98"/>
        <cfvo type="num" val="1"/>
      </iconSet>
    </cfRule>
  </conditionalFormatting>
  <conditionalFormatting sqref="AI37">
    <cfRule type="iconSet" priority="89">
      <iconSet iconSet="3TrafficLights2">
        <cfvo type="percent" val="0"/>
        <cfvo type="num" val="0.98"/>
        <cfvo type="num" val="1"/>
      </iconSet>
    </cfRule>
  </conditionalFormatting>
  <conditionalFormatting sqref="AH39:AI39">
    <cfRule type="iconSet" priority="88">
      <iconSet iconSet="3TrafficLights2">
        <cfvo type="percent" val="0"/>
        <cfvo type="num" val="0.98"/>
        <cfvo type="num" val="1"/>
      </iconSet>
    </cfRule>
  </conditionalFormatting>
  <conditionalFormatting sqref="AH40:AI40">
    <cfRule type="iconSet" priority="87">
      <iconSet iconSet="3TrafficLights2">
        <cfvo type="percent" val="0"/>
        <cfvo type="num" val="0.98"/>
        <cfvo type="num" val="1"/>
      </iconSet>
    </cfRule>
  </conditionalFormatting>
  <conditionalFormatting sqref="AH8">
    <cfRule type="iconSet" priority="86">
      <iconSet iconSet="3TrafficLights2">
        <cfvo type="percent" val="0"/>
        <cfvo type="num" val="0.98"/>
        <cfvo type="num" val="1"/>
      </iconSet>
    </cfRule>
  </conditionalFormatting>
  <conditionalFormatting sqref="AI8">
    <cfRule type="iconSet" priority="85">
      <iconSet iconSet="3TrafficLights2">
        <cfvo type="percent" val="0"/>
        <cfvo type="num" val="0.98"/>
        <cfvo type="num" val="1"/>
      </iconSet>
    </cfRule>
  </conditionalFormatting>
  <conditionalFormatting sqref="AH18:AH19 AH54">
    <cfRule type="iconSet" priority="84">
      <iconSet iconSet="3TrafficLights2">
        <cfvo type="percent" val="0"/>
        <cfvo type="num" val="0.98"/>
        <cfvo type="num" val="1"/>
      </iconSet>
    </cfRule>
  </conditionalFormatting>
  <conditionalFormatting sqref="AI18:AI19 AI54">
    <cfRule type="iconSet" priority="83">
      <iconSet iconSet="3TrafficLights2">
        <cfvo type="percent" val="0"/>
        <cfvo type="num" val="0.98"/>
        <cfvo type="num" val="1"/>
      </iconSet>
    </cfRule>
  </conditionalFormatting>
  <conditionalFormatting sqref="AH76">
    <cfRule type="iconSet" priority="82">
      <iconSet iconSet="3TrafficLights2">
        <cfvo type="percent" val="0"/>
        <cfvo type="num" val="0.98"/>
        <cfvo type="num" val="1"/>
      </iconSet>
    </cfRule>
  </conditionalFormatting>
  <conditionalFormatting sqref="AI76">
    <cfRule type="iconSet" priority="81">
      <iconSet iconSet="3TrafficLights2">
        <cfvo type="percent" val="0"/>
        <cfvo type="num" val="0.98"/>
        <cfvo type="num" val="1"/>
      </iconSet>
    </cfRule>
  </conditionalFormatting>
  <conditionalFormatting sqref="AH17:AI17 AH55:AI57 AH62:AI62">
    <cfRule type="iconSet" priority="80">
      <iconSet iconSet="3TrafficLights2">
        <cfvo type="percent" val="0"/>
        <cfvo type="num" val="0.98"/>
        <cfvo type="num" val="1"/>
      </iconSet>
    </cfRule>
  </conditionalFormatting>
  <conditionalFormatting sqref="AH66:AI66">
    <cfRule type="iconSet" priority="79">
      <iconSet iconSet="3TrafficLights2">
        <cfvo type="percent" val="0"/>
        <cfvo type="num" val="0.98"/>
        <cfvo type="num" val="1"/>
      </iconSet>
    </cfRule>
  </conditionalFormatting>
  <conditionalFormatting sqref="AH52:AI52">
    <cfRule type="iconSet" priority="78">
      <iconSet iconSet="3TrafficLights2">
        <cfvo type="percent" val="0"/>
        <cfvo type="num" val="0.98"/>
        <cfvo type="num" val="1"/>
      </iconSet>
    </cfRule>
  </conditionalFormatting>
  <conditionalFormatting sqref="AH47">
    <cfRule type="iconSet" priority="77">
      <iconSet iconSet="3TrafficLights2">
        <cfvo type="percent" val="0"/>
        <cfvo type="num" val="0.98"/>
        <cfvo type="num" val="1"/>
      </iconSet>
    </cfRule>
  </conditionalFormatting>
  <conditionalFormatting sqref="AI47">
    <cfRule type="iconSet" priority="76">
      <iconSet iconSet="3TrafficLights2">
        <cfvo type="percent" val="0"/>
        <cfvo type="num" val="0.98"/>
        <cfvo type="num" val="1"/>
      </iconSet>
    </cfRule>
  </conditionalFormatting>
  <conditionalFormatting sqref="AH77:AI77">
    <cfRule type="iconSet" priority="75">
      <iconSet iconSet="3TrafficLights2">
        <cfvo type="percent" val="0"/>
        <cfvo type="num" val="0.98"/>
        <cfvo type="num" val="1"/>
      </iconSet>
    </cfRule>
  </conditionalFormatting>
  <conditionalFormatting sqref="AH72">
    <cfRule type="iconSet" priority="74">
      <iconSet iconSet="3TrafficLights2">
        <cfvo type="percent" val="0"/>
        <cfvo type="num" val="0.98"/>
        <cfvo type="num" val="1"/>
      </iconSet>
    </cfRule>
  </conditionalFormatting>
  <conditionalFormatting sqref="AI72">
    <cfRule type="iconSet" priority="73">
      <iconSet iconSet="3TrafficLights2">
        <cfvo type="percent" val="0"/>
        <cfvo type="num" val="0.98"/>
        <cfvo type="num" val="1"/>
      </iconSet>
    </cfRule>
  </conditionalFormatting>
  <conditionalFormatting sqref="AH24:AI24 AH28:AI28 AH31:AI31 AH21:AI22 AH34:AI34 AH46:AI46 AH58:AI58 AH61:AI61 AH65:AI65 AH68:AI69">
    <cfRule type="iconSet" priority="72">
      <iconSet iconSet="3TrafficLights2">
        <cfvo type="percent" val="0"/>
        <cfvo type="num" val="0.98"/>
        <cfvo type="num" val="1"/>
      </iconSet>
    </cfRule>
  </conditionalFormatting>
  <conditionalFormatting sqref="AH73:AI73">
    <cfRule type="iconSet" priority="71">
      <iconSet iconSet="3TrafficLights2">
        <cfvo type="percent" val="0"/>
        <cfvo type="num" val="0.98"/>
        <cfvo type="num" val="1"/>
      </iconSet>
    </cfRule>
  </conditionalFormatting>
  <conditionalFormatting sqref="AH44:AI44">
    <cfRule type="iconSet" priority="70">
      <iconSet iconSet="3TrafficLights2">
        <cfvo type="percent" val="0"/>
        <cfvo type="num" val="0.98"/>
        <cfvo type="num" val="1"/>
      </iconSet>
    </cfRule>
  </conditionalFormatting>
  <conditionalFormatting sqref="AH45:AI45">
    <cfRule type="iconSet" priority="69">
      <iconSet iconSet="3TrafficLights2">
        <cfvo type="percent" val="0"/>
        <cfvo type="num" val="0.98"/>
        <cfvo type="num" val="1"/>
      </iconSet>
    </cfRule>
  </conditionalFormatting>
  <conditionalFormatting sqref="AH30:AI30">
    <cfRule type="iconSet" priority="67">
      <iconSet iconSet="3TrafficLights2">
        <cfvo type="percent" val="0"/>
        <cfvo type="num" val="0.98"/>
        <cfvo type="num" val="1"/>
      </iconSet>
    </cfRule>
  </conditionalFormatting>
  <conditionalFormatting sqref="AH20:AI20">
    <cfRule type="iconSet" priority="66">
      <iconSet iconSet="3TrafficLights2">
        <cfvo type="percent" val="0"/>
        <cfvo type="num" val="0.98"/>
        <cfvo type="num" val="1"/>
      </iconSet>
    </cfRule>
  </conditionalFormatting>
  <conditionalFormatting sqref="AH10:AI10">
    <cfRule type="iconSet" priority="65">
      <iconSet iconSet="3TrafficLights2">
        <cfvo type="percent" val="0"/>
        <cfvo type="num" val="0.98"/>
        <cfvo type="num" val="1"/>
      </iconSet>
    </cfRule>
  </conditionalFormatting>
  <conditionalFormatting sqref="AH12">
    <cfRule type="iconSet" priority="64">
      <iconSet iconSet="3TrafficLights2">
        <cfvo type="percent" val="0"/>
        <cfvo type="num" val="0.98"/>
        <cfvo type="num" val="1"/>
      </iconSet>
    </cfRule>
  </conditionalFormatting>
  <conditionalFormatting sqref="AI12">
    <cfRule type="iconSet" priority="63">
      <iconSet iconSet="3TrafficLights2">
        <cfvo type="percent" val="0"/>
        <cfvo type="num" val="0.98"/>
        <cfvo type="num" val="1"/>
      </iconSet>
    </cfRule>
  </conditionalFormatting>
  <conditionalFormatting sqref="AH14:AI15">
    <cfRule type="iconSet" priority="62">
      <iconSet iconSet="3TrafficLights2">
        <cfvo type="percent" val="0"/>
        <cfvo type="num" val="0.98"/>
        <cfvo type="num" val="1"/>
      </iconSet>
    </cfRule>
  </conditionalFormatting>
  <conditionalFormatting sqref="AH9">
    <cfRule type="iconSet" priority="59">
      <iconSet iconSet="3TrafficLights2">
        <cfvo type="percent" val="0"/>
        <cfvo type="num" val="0.98"/>
        <cfvo type="num" val="1"/>
      </iconSet>
    </cfRule>
  </conditionalFormatting>
  <conditionalFormatting sqref="AI9">
    <cfRule type="iconSet" priority="58">
      <iconSet iconSet="3TrafficLights2">
        <cfvo type="percent" val="0"/>
        <cfvo type="num" val="0.98"/>
        <cfvo type="num" val="1"/>
      </iconSet>
    </cfRule>
  </conditionalFormatting>
  <conditionalFormatting sqref="AH23:AI23">
    <cfRule type="iconSet" priority="57">
      <iconSet iconSet="3TrafficLights2">
        <cfvo type="percent" val="0"/>
        <cfvo type="num" val="0.98"/>
        <cfvo type="num" val="1"/>
      </iconSet>
    </cfRule>
  </conditionalFormatting>
  <conditionalFormatting sqref="AH25">
    <cfRule type="iconSet" priority="56">
      <iconSet iconSet="3TrafficLights2">
        <cfvo type="percent" val="0"/>
        <cfvo type="num" val="0.98"/>
        <cfvo type="num" val="1"/>
      </iconSet>
    </cfRule>
  </conditionalFormatting>
  <conditionalFormatting sqref="AI25">
    <cfRule type="iconSet" priority="55">
      <iconSet iconSet="3TrafficLights2">
        <cfvo type="percent" val="0"/>
        <cfvo type="num" val="0.98"/>
        <cfvo type="num" val="1"/>
      </iconSet>
    </cfRule>
  </conditionalFormatting>
  <conditionalFormatting sqref="AH26">
    <cfRule type="iconSet" priority="54">
      <iconSet iconSet="3TrafficLights2">
        <cfvo type="percent" val="0"/>
        <cfvo type="num" val="0.98"/>
        <cfvo type="num" val="1"/>
      </iconSet>
    </cfRule>
  </conditionalFormatting>
  <conditionalFormatting sqref="AI26">
    <cfRule type="iconSet" priority="53">
      <iconSet iconSet="3TrafficLights2">
        <cfvo type="percent" val="0"/>
        <cfvo type="num" val="0.98"/>
        <cfvo type="num" val="1"/>
      </iconSet>
    </cfRule>
  </conditionalFormatting>
  <conditionalFormatting sqref="AH27">
    <cfRule type="iconSet" priority="52">
      <iconSet iconSet="3TrafficLights2">
        <cfvo type="percent" val="0"/>
        <cfvo type="num" val="0.98"/>
        <cfvo type="num" val="1"/>
      </iconSet>
    </cfRule>
  </conditionalFormatting>
  <conditionalFormatting sqref="AI27">
    <cfRule type="iconSet" priority="51">
      <iconSet iconSet="3TrafficLights2">
        <cfvo type="percent" val="0"/>
        <cfvo type="num" val="0.98"/>
        <cfvo type="num" val="1"/>
      </iconSet>
    </cfRule>
  </conditionalFormatting>
  <conditionalFormatting sqref="AH29">
    <cfRule type="iconSet" priority="50">
      <iconSet iconSet="3TrafficLights2">
        <cfvo type="percent" val="0"/>
        <cfvo type="num" val="0.98"/>
        <cfvo type="num" val="1"/>
      </iconSet>
    </cfRule>
  </conditionalFormatting>
  <conditionalFormatting sqref="AI29">
    <cfRule type="iconSet" priority="49">
      <iconSet iconSet="3TrafficLights2">
        <cfvo type="percent" val="0"/>
        <cfvo type="num" val="0.98"/>
        <cfvo type="num" val="1"/>
      </iconSet>
    </cfRule>
  </conditionalFormatting>
  <conditionalFormatting sqref="AH36">
    <cfRule type="iconSet" priority="48">
      <iconSet iconSet="3TrafficLights2">
        <cfvo type="percent" val="0"/>
        <cfvo type="num" val="0.98"/>
        <cfvo type="num" val="1"/>
      </iconSet>
    </cfRule>
  </conditionalFormatting>
  <conditionalFormatting sqref="AI36">
    <cfRule type="iconSet" priority="47">
      <iconSet iconSet="3TrafficLights2">
        <cfvo type="percent" val="0"/>
        <cfvo type="num" val="0.98"/>
        <cfvo type="num" val="1"/>
      </iconSet>
    </cfRule>
  </conditionalFormatting>
  <conditionalFormatting sqref="AH38">
    <cfRule type="iconSet" priority="46">
      <iconSet iconSet="3TrafficLights2">
        <cfvo type="percent" val="0"/>
        <cfvo type="num" val="0.98"/>
        <cfvo type="num" val="1"/>
      </iconSet>
    </cfRule>
  </conditionalFormatting>
  <conditionalFormatting sqref="AI38">
    <cfRule type="iconSet" priority="45">
      <iconSet iconSet="3TrafficLights2">
        <cfvo type="percent" val="0"/>
        <cfvo type="num" val="0.98"/>
        <cfvo type="num" val="1"/>
      </iconSet>
    </cfRule>
  </conditionalFormatting>
  <conditionalFormatting sqref="AH42">
    <cfRule type="iconSet" priority="44">
      <iconSet iconSet="3TrafficLights2">
        <cfvo type="percent" val="0"/>
        <cfvo type="num" val="0.98"/>
        <cfvo type="num" val="1"/>
      </iconSet>
    </cfRule>
  </conditionalFormatting>
  <conditionalFormatting sqref="AI42">
    <cfRule type="iconSet" priority="43">
      <iconSet iconSet="3TrafficLights2">
        <cfvo type="percent" val="0"/>
        <cfvo type="num" val="0.98"/>
        <cfvo type="num" val="1"/>
      </iconSet>
    </cfRule>
  </conditionalFormatting>
  <conditionalFormatting sqref="AH43">
    <cfRule type="iconSet" priority="42">
      <iconSet iconSet="3TrafficLights2">
        <cfvo type="percent" val="0"/>
        <cfvo type="num" val="0.98"/>
        <cfvo type="num" val="1"/>
      </iconSet>
    </cfRule>
  </conditionalFormatting>
  <conditionalFormatting sqref="AI43">
    <cfRule type="iconSet" priority="41">
      <iconSet iconSet="3TrafficLights2">
        <cfvo type="percent" val="0"/>
        <cfvo type="num" val="0.98"/>
        <cfvo type="num" val="1"/>
      </iconSet>
    </cfRule>
  </conditionalFormatting>
  <conditionalFormatting sqref="AH48">
    <cfRule type="iconSet" priority="40">
      <iconSet iconSet="3TrafficLights2">
        <cfvo type="percent" val="0"/>
        <cfvo type="num" val="0.98"/>
        <cfvo type="num" val="1"/>
      </iconSet>
    </cfRule>
  </conditionalFormatting>
  <conditionalFormatting sqref="AI48">
    <cfRule type="iconSet" priority="39">
      <iconSet iconSet="3TrafficLights2">
        <cfvo type="percent" val="0"/>
        <cfvo type="num" val="0.98"/>
        <cfvo type="num" val="1"/>
      </iconSet>
    </cfRule>
  </conditionalFormatting>
  <conditionalFormatting sqref="AH49">
    <cfRule type="iconSet" priority="36">
      <iconSet iconSet="3TrafficLights2">
        <cfvo type="percent" val="0"/>
        <cfvo type="num" val="0.98"/>
        <cfvo type="num" val="1"/>
      </iconSet>
    </cfRule>
  </conditionalFormatting>
  <conditionalFormatting sqref="AI49">
    <cfRule type="iconSet" priority="35">
      <iconSet iconSet="3TrafficLights2">
        <cfvo type="percent" val="0"/>
        <cfvo type="num" val="0.98"/>
        <cfvo type="num" val="1"/>
      </iconSet>
    </cfRule>
  </conditionalFormatting>
  <conditionalFormatting sqref="AH50">
    <cfRule type="iconSet" priority="34">
      <iconSet iconSet="3TrafficLights2">
        <cfvo type="percent" val="0"/>
        <cfvo type="num" val="0.98"/>
        <cfvo type="num" val="1"/>
      </iconSet>
    </cfRule>
  </conditionalFormatting>
  <conditionalFormatting sqref="AI50">
    <cfRule type="iconSet" priority="33">
      <iconSet iconSet="3TrafficLights2">
        <cfvo type="percent" val="0"/>
        <cfvo type="num" val="0.98"/>
        <cfvo type="num" val="1"/>
      </iconSet>
    </cfRule>
  </conditionalFormatting>
  <conditionalFormatting sqref="AH51">
    <cfRule type="iconSet" priority="32">
      <iconSet iconSet="3TrafficLights2">
        <cfvo type="percent" val="0"/>
        <cfvo type="num" val="0.98"/>
        <cfvo type="num" val="1"/>
      </iconSet>
    </cfRule>
  </conditionalFormatting>
  <conditionalFormatting sqref="AI51">
    <cfRule type="iconSet" priority="31">
      <iconSet iconSet="3TrafficLights2">
        <cfvo type="percent" val="0"/>
        <cfvo type="num" val="0.98"/>
        <cfvo type="num" val="1"/>
      </iconSet>
    </cfRule>
  </conditionalFormatting>
  <conditionalFormatting sqref="AH53">
    <cfRule type="iconSet" priority="30">
      <iconSet iconSet="3TrafficLights2">
        <cfvo type="percent" val="0"/>
        <cfvo type="num" val="0.98"/>
        <cfvo type="num" val="1"/>
      </iconSet>
    </cfRule>
  </conditionalFormatting>
  <conditionalFormatting sqref="AI53">
    <cfRule type="iconSet" priority="29">
      <iconSet iconSet="3TrafficLights2">
        <cfvo type="percent" val="0"/>
        <cfvo type="num" val="0.98"/>
        <cfvo type="num" val="1"/>
      </iconSet>
    </cfRule>
  </conditionalFormatting>
  <conditionalFormatting sqref="AH60">
    <cfRule type="iconSet" priority="28">
      <iconSet iconSet="3TrafficLights2">
        <cfvo type="percent" val="0"/>
        <cfvo type="num" val="0.98"/>
        <cfvo type="num" val="1"/>
      </iconSet>
    </cfRule>
  </conditionalFormatting>
  <conditionalFormatting sqref="AI60">
    <cfRule type="iconSet" priority="27">
      <iconSet iconSet="3TrafficLights2">
        <cfvo type="percent" val="0"/>
        <cfvo type="num" val="0.98"/>
        <cfvo type="num" val="1"/>
      </iconSet>
    </cfRule>
  </conditionalFormatting>
  <conditionalFormatting sqref="AH67">
    <cfRule type="iconSet" priority="26">
      <iconSet iconSet="3TrafficLights2">
        <cfvo type="percent" val="0"/>
        <cfvo type="num" val="0.98"/>
        <cfvo type="num" val="1"/>
      </iconSet>
    </cfRule>
  </conditionalFormatting>
  <conditionalFormatting sqref="AI67">
    <cfRule type="iconSet" priority="25">
      <iconSet iconSet="3TrafficLights2">
        <cfvo type="percent" val="0"/>
        <cfvo type="num" val="0.98"/>
        <cfvo type="num" val="1"/>
      </iconSet>
    </cfRule>
  </conditionalFormatting>
  <conditionalFormatting sqref="AH70">
    <cfRule type="iconSet" priority="24">
      <iconSet iconSet="3TrafficLights2">
        <cfvo type="percent" val="0"/>
        <cfvo type="num" val="0.98"/>
        <cfvo type="num" val="1"/>
      </iconSet>
    </cfRule>
  </conditionalFormatting>
  <conditionalFormatting sqref="AI70">
    <cfRule type="iconSet" priority="23">
      <iconSet iconSet="3TrafficLights2">
        <cfvo type="percent" val="0"/>
        <cfvo type="num" val="0.98"/>
        <cfvo type="num" val="1"/>
      </iconSet>
    </cfRule>
  </conditionalFormatting>
  <conditionalFormatting sqref="AH74">
    <cfRule type="iconSet" priority="22">
      <iconSet iconSet="3TrafficLights2">
        <cfvo type="percent" val="0"/>
        <cfvo type="num" val="0.98"/>
        <cfvo type="num" val="1"/>
      </iconSet>
    </cfRule>
  </conditionalFormatting>
  <conditionalFormatting sqref="AI74">
    <cfRule type="iconSet" priority="21">
      <iconSet iconSet="3TrafficLights2">
        <cfvo type="percent" val="0"/>
        <cfvo type="num" val="0.98"/>
        <cfvo type="num" val="1"/>
      </iconSet>
    </cfRule>
  </conditionalFormatting>
  <conditionalFormatting sqref="AH75">
    <cfRule type="iconSet" priority="20">
      <iconSet iconSet="3TrafficLights2">
        <cfvo type="percent" val="0"/>
        <cfvo type="num" val="0.98"/>
        <cfvo type="num" val="1"/>
      </iconSet>
    </cfRule>
  </conditionalFormatting>
  <conditionalFormatting sqref="AI75">
    <cfRule type="iconSet" priority="19">
      <iconSet iconSet="3TrafficLights2">
        <cfvo type="percent" val="0"/>
        <cfvo type="num" val="0.98"/>
        <cfvo type="num" val="1"/>
      </iconSet>
    </cfRule>
  </conditionalFormatting>
  <conditionalFormatting sqref="AH83:AH85">
    <cfRule type="iconSet" priority="18">
      <iconSet iconSet="3TrafficLights2">
        <cfvo type="percent" val="0"/>
        <cfvo type="num" val="0.98"/>
        <cfvo type="num" val="1"/>
      </iconSet>
    </cfRule>
  </conditionalFormatting>
  <conditionalFormatting sqref="AI83:AI85">
    <cfRule type="iconSet" priority="17">
      <iconSet iconSet="3TrafficLights2">
        <cfvo type="percent" val="0"/>
        <cfvo type="num" val="0.98"/>
        <cfvo type="num" val="1"/>
      </iconSet>
    </cfRule>
  </conditionalFormatting>
  <conditionalFormatting sqref="AH78">
    <cfRule type="iconSet" priority="16">
      <iconSet iconSet="3TrafficLights2">
        <cfvo type="percent" val="0"/>
        <cfvo type="num" val="0.98"/>
        <cfvo type="num" val="1"/>
      </iconSet>
    </cfRule>
  </conditionalFormatting>
  <conditionalFormatting sqref="AI78">
    <cfRule type="iconSet" priority="15">
      <iconSet iconSet="3TrafficLights2">
        <cfvo type="percent" val="0"/>
        <cfvo type="num" val="0.98"/>
        <cfvo type="num" val="1"/>
      </iconSet>
    </cfRule>
  </conditionalFormatting>
  <conditionalFormatting sqref="AH79">
    <cfRule type="iconSet" priority="14">
      <iconSet iconSet="3TrafficLights2">
        <cfvo type="percent" val="0"/>
        <cfvo type="num" val="0.98"/>
        <cfvo type="num" val="1"/>
      </iconSet>
    </cfRule>
  </conditionalFormatting>
  <conditionalFormatting sqref="AI79">
    <cfRule type="iconSet" priority="13">
      <iconSet iconSet="3TrafficLights2">
        <cfvo type="percent" val="0"/>
        <cfvo type="num" val="0.98"/>
        <cfvo type="num" val="1"/>
      </iconSet>
    </cfRule>
  </conditionalFormatting>
  <conditionalFormatting sqref="AH81">
    <cfRule type="iconSet" priority="12">
      <iconSet iconSet="3TrafficLights2">
        <cfvo type="percent" val="0"/>
        <cfvo type="num" val="0.98"/>
        <cfvo type="num" val="1"/>
      </iconSet>
    </cfRule>
  </conditionalFormatting>
  <conditionalFormatting sqref="AI81">
    <cfRule type="iconSet" priority="11">
      <iconSet iconSet="3TrafficLights2">
        <cfvo type="percent" val="0"/>
        <cfvo type="num" val="0.98"/>
        <cfvo type="num" val="1"/>
      </iconSet>
    </cfRule>
  </conditionalFormatting>
  <conditionalFormatting sqref="AH35:AI35">
    <cfRule type="iconSet" priority="10">
      <iconSet iconSet="3TrafficLights2">
        <cfvo type="percent" val="0"/>
        <cfvo type="num" val="0.98"/>
        <cfvo type="num" val="1"/>
      </iconSet>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2F6BE-E729-49FC-8455-45848765626B}">
  <dimension ref="A1:AC79"/>
  <sheetViews>
    <sheetView workbookViewId="0">
      <selection activeCell="F10" sqref="F10"/>
    </sheetView>
  </sheetViews>
  <sheetFormatPr baseColWidth="10" defaultRowHeight="15" x14ac:dyDescent="0.25"/>
  <cols>
    <col min="1" max="1" width="51.42578125" customWidth="1"/>
    <col min="29" max="29" width="24.7109375" customWidth="1"/>
  </cols>
  <sheetData>
    <row r="1" spans="1:29" ht="60.75" thickBot="1" x14ac:dyDescent="0.3">
      <c r="A1" s="194" t="s">
        <v>83</v>
      </c>
      <c r="B1" s="194" t="s">
        <v>176</v>
      </c>
      <c r="C1" s="194" t="s">
        <v>172</v>
      </c>
      <c r="D1" s="195" t="s">
        <v>1</v>
      </c>
      <c r="E1" s="199" t="s">
        <v>215</v>
      </c>
      <c r="F1" s="208" t="s">
        <v>88</v>
      </c>
      <c r="G1" s="192" t="s">
        <v>80</v>
      </c>
      <c r="H1" s="209" t="s">
        <v>103</v>
      </c>
      <c r="I1" s="69" t="s">
        <v>89</v>
      </c>
      <c r="J1" s="69" t="s">
        <v>139</v>
      </c>
      <c r="K1" s="67" t="s">
        <v>81</v>
      </c>
      <c r="L1" s="24" t="s">
        <v>141</v>
      </c>
      <c r="M1" s="24" t="s">
        <v>105</v>
      </c>
      <c r="N1" s="276" t="s">
        <v>153</v>
      </c>
      <c r="O1" s="283" t="s">
        <v>90</v>
      </c>
      <c r="P1" s="284" t="s">
        <v>140</v>
      </c>
      <c r="Q1" s="284" t="s">
        <v>82</v>
      </c>
      <c r="R1" s="284" t="s">
        <v>142</v>
      </c>
      <c r="S1" s="284" t="s">
        <v>107</v>
      </c>
      <c r="T1" s="284" t="s">
        <v>153</v>
      </c>
      <c r="U1" s="285" t="s">
        <v>114</v>
      </c>
      <c r="V1" s="250" t="s">
        <v>143</v>
      </c>
      <c r="W1" s="24" t="s">
        <v>144</v>
      </c>
      <c r="X1" s="284" t="s">
        <v>270</v>
      </c>
      <c r="Y1" s="284" t="s">
        <v>271</v>
      </c>
      <c r="Z1" s="284" t="s">
        <v>272</v>
      </c>
      <c r="AA1" s="284" t="s">
        <v>153</v>
      </c>
      <c r="AB1" s="80" t="s">
        <v>316</v>
      </c>
      <c r="AC1" s="69" t="s">
        <v>102</v>
      </c>
    </row>
    <row r="2" spans="1:29" x14ac:dyDescent="0.25">
      <c r="A2" s="4" t="s">
        <v>2</v>
      </c>
      <c r="B2" s="54" t="s">
        <v>177</v>
      </c>
      <c r="C2" s="57" t="s">
        <v>186</v>
      </c>
      <c r="D2" s="32">
        <v>0.83</v>
      </c>
      <c r="E2" s="168">
        <v>0.77300000000000002</v>
      </c>
      <c r="F2" s="51">
        <v>0.79600000000000004</v>
      </c>
      <c r="G2" s="32">
        <v>0.77810000000000001</v>
      </c>
      <c r="H2" s="123">
        <f>+(G2-E2)/(F2-E2)</f>
        <v>0.22173913043478213</v>
      </c>
      <c r="I2" s="157">
        <v>0.80400000000000005</v>
      </c>
      <c r="J2" s="698">
        <v>0.80400000000000005</v>
      </c>
      <c r="K2" s="110">
        <v>0.79479999999999995</v>
      </c>
      <c r="L2" s="110">
        <v>0.79479999999999995</v>
      </c>
      <c r="M2" s="30">
        <f>+(K2-E2)/(I2-E2)</f>
        <v>0.70322580645161004</v>
      </c>
      <c r="N2" s="30">
        <f>+(L2-E2)/(D2-E2)</f>
        <v>0.38245614035087638</v>
      </c>
      <c r="O2" s="440">
        <v>0.81899999999999995</v>
      </c>
      <c r="P2" s="699">
        <v>0.81899999999999995</v>
      </c>
      <c r="Q2" s="308">
        <v>0.80110000000000003</v>
      </c>
      <c r="R2" s="280">
        <v>0.80110000000000003</v>
      </c>
      <c r="S2" s="281">
        <f>+(Q2-E2)/(O2-E2)</f>
        <v>0.61086956521739255</v>
      </c>
      <c r="T2" s="281">
        <f>+(R2-E2)/(D2-E2)</f>
        <v>0.49298245614035163</v>
      </c>
      <c r="U2" s="282" t="s">
        <v>115</v>
      </c>
      <c r="V2" s="714">
        <v>0.83</v>
      </c>
      <c r="W2" s="110">
        <f>+D2</f>
        <v>0.83</v>
      </c>
      <c r="X2" s="169">
        <f>+Q2</f>
        <v>0.80110000000000003</v>
      </c>
      <c r="Y2" s="169">
        <f>+R2</f>
        <v>0.80110000000000003</v>
      </c>
      <c r="Z2" s="281">
        <f>+(X2-E2)/(V2-E2)</f>
        <v>0.49298245614035163</v>
      </c>
      <c r="AA2" s="281">
        <f>+(Y2-E2)/(W2-E2)</f>
        <v>0.49298245614035163</v>
      </c>
      <c r="AB2" s="169">
        <f>+Z2</f>
        <v>0.49298245614035163</v>
      </c>
      <c r="AC2" s="715" t="s">
        <v>375</v>
      </c>
    </row>
    <row r="3" spans="1:29" ht="30" x14ac:dyDescent="0.25">
      <c r="A3" s="4" t="s">
        <v>3</v>
      </c>
      <c r="B3" s="54" t="s">
        <v>177</v>
      </c>
      <c r="C3" s="57" t="s">
        <v>186</v>
      </c>
      <c r="D3" s="32">
        <v>0.45</v>
      </c>
      <c r="E3" s="168">
        <v>0.372</v>
      </c>
      <c r="F3" s="51">
        <v>0.39219999999999999</v>
      </c>
      <c r="G3" s="32">
        <v>0.39700000000000002</v>
      </c>
      <c r="H3" s="123">
        <f t="shared" ref="H3" si="0">+(G3-E3)/(F3-E3)</f>
        <v>1.2376237623762389</v>
      </c>
      <c r="I3" s="158">
        <v>0.41149999999999998</v>
      </c>
      <c r="J3" s="44">
        <v>0.41149999999999998</v>
      </c>
      <c r="K3" s="32">
        <v>0.45700000000000002</v>
      </c>
      <c r="L3" s="32">
        <v>0.45700000000000002</v>
      </c>
      <c r="M3" s="30">
        <f t="shared" ref="M3" si="1">+(K3-E3)/(I3-E3)</f>
        <v>2.1518987341772169</v>
      </c>
      <c r="N3" s="30">
        <f>+(L3-E3)/(D3-E3)</f>
        <v>1.0897435897435899</v>
      </c>
      <c r="O3" s="158">
        <v>0.43009999999999998</v>
      </c>
      <c r="P3" s="32">
        <v>0.43009999999999998</v>
      </c>
      <c r="Q3" s="308">
        <f>+K3</f>
        <v>0.45700000000000002</v>
      </c>
      <c r="R3" s="60">
        <f>+Q3</f>
        <v>0.45700000000000002</v>
      </c>
      <c r="S3" s="281">
        <f>+(Q3-E3)/(O3-E3)</f>
        <v>1.462994836488813</v>
      </c>
      <c r="T3" s="281">
        <f>+(R3-E3)/(D3-E3)</f>
        <v>1.0897435897435899</v>
      </c>
      <c r="U3" s="123" t="s">
        <v>371</v>
      </c>
      <c r="V3" s="716">
        <v>0.45</v>
      </c>
      <c r="W3" s="32">
        <f>+D3</f>
        <v>0.45</v>
      </c>
      <c r="X3" s="168">
        <f>+Q3</f>
        <v>0.45700000000000002</v>
      </c>
      <c r="Y3" s="168">
        <f>+X3</f>
        <v>0.45700000000000002</v>
      </c>
      <c r="Z3" s="281">
        <f>+(X3-E3)/(V3-E3)</f>
        <v>1.0897435897435899</v>
      </c>
      <c r="AA3" s="281">
        <f>+(Y3-E3)/(W3-E3)</f>
        <v>1.0897435897435899</v>
      </c>
      <c r="AB3" s="168">
        <f>+Z3</f>
        <v>1.0897435897435899</v>
      </c>
      <c r="AC3" s="715" t="s">
        <v>376</v>
      </c>
    </row>
    <row r="4" spans="1:29" ht="30" x14ac:dyDescent="0.25">
      <c r="A4" s="4" t="s">
        <v>4</v>
      </c>
      <c r="B4" s="54" t="s">
        <v>177</v>
      </c>
      <c r="C4" s="57" t="s">
        <v>183</v>
      </c>
      <c r="D4" s="32">
        <v>0.93</v>
      </c>
      <c r="E4" s="168">
        <v>0.871</v>
      </c>
      <c r="F4" s="51">
        <v>0.8901</v>
      </c>
      <c r="G4" s="32">
        <v>0.86770000000000003</v>
      </c>
      <c r="H4" s="123">
        <f>+G4/F4</f>
        <v>0.97483428828221552</v>
      </c>
      <c r="I4" s="158">
        <v>0.91090000000000004</v>
      </c>
      <c r="J4" s="44">
        <v>0.91090000000000004</v>
      </c>
      <c r="K4" s="32">
        <v>0.86699999999999999</v>
      </c>
      <c r="L4" s="31">
        <v>0.86699999999999999</v>
      </c>
      <c r="M4" s="30">
        <f>+K4/I4</f>
        <v>0.95180590624656924</v>
      </c>
      <c r="N4" s="30">
        <f>+L4/J4</f>
        <v>0.95180590624656924</v>
      </c>
      <c r="O4" s="158">
        <v>0.91681999999999997</v>
      </c>
      <c r="P4" s="31">
        <v>0.91681999999999997</v>
      </c>
      <c r="Q4" s="308">
        <v>0.86040000000000005</v>
      </c>
      <c r="R4" s="60">
        <v>0.86040000000000005</v>
      </c>
      <c r="S4" s="281">
        <f>+Q4/O4</f>
        <v>0.938461202853341</v>
      </c>
      <c r="T4" s="30">
        <f>+R4/P4</f>
        <v>0.938461202853341</v>
      </c>
      <c r="U4" s="123" t="s">
        <v>115</v>
      </c>
      <c r="V4" s="716">
        <v>0.93</v>
      </c>
      <c r="W4" s="32">
        <f>+D4</f>
        <v>0.93</v>
      </c>
      <c r="X4" s="168">
        <f>+Q4</f>
        <v>0.86040000000000005</v>
      </c>
      <c r="Y4" s="168">
        <f>+X4</f>
        <v>0.86040000000000005</v>
      </c>
      <c r="Z4" s="281">
        <f>+X4/V4</f>
        <v>0.92516129032258065</v>
      </c>
      <c r="AA4" s="30">
        <f>+Y4/W4</f>
        <v>0.92516129032258065</v>
      </c>
      <c r="AB4" s="168">
        <f>+Z4</f>
        <v>0.92516129032258065</v>
      </c>
      <c r="AC4" s="715" t="s">
        <v>375</v>
      </c>
    </row>
    <row r="5" spans="1:29" ht="30" x14ac:dyDescent="0.25">
      <c r="A5" s="4" t="s">
        <v>5</v>
      </c>
      <c r="B5" s="54" t="s">
        <v>177</v>
      </c>
      <c r="C5" s="57" t="s">
        <v>183</v>
      </c>
      <c r="D5" s="13">
        <v>2.5000000000000001E-2</v>
      </c>
      <c r="E5" s="168">
        <v>3.1E-2</v>
      </c>
      <c r="F5" s="61">
        <v>3.0300000000000001E-2</v>
      </c>
      <c r="G5" s="13">
        <v>3.2599999999999997E-2</v>
      </c>
      <c r="H5" s="123">
        <f>(E5-G5)/(E5-F5)</f>
        <v>-2.2857142857142843</v>
      </c>
      <c r="I5" s="158">
        <v>2.9499999999999998E-2</v>
      </c>
      <c r="J5" s="38">
        <v>2.9499999999999998E-2</v>
      </c>
      <c r="K5" s="32">
        <v>3.7199999999999997E-2</v>
      </c>
      <c r="L5" s="14">
        <v>3.7199999999999997E-2</v>
      </c>
      <c r="M5" s="437">
        <f>+(E5-K5)/(E5-I5)</f>
        <v>-4.1333333333333275</v>
      </c>
      <c r="N5" s="442">
        <f>+(E5-L5)/(E5-D5)</f>
        <v>-1.0333333333333332</v>
      </c>
      <c r="O5" s="51">
        <v>2.8799999999999999E-2</v>
      </c>
      <c r="P5" s="14">
        <v>2.8799999999999999E-2</v>
      </c>
      <c r="Q5" s="308">
        <v>3.0800000000000001E-2</v>
      </c>
      <c r="R5" s="60">
        <v>3.0800000000000001E-2</v>
      </c>
      <c r="S5" s="30">
        <f>+(E5-Q5)/(E5-O5)</f>
        <v>9.0909090909090329E-2</v>
      </c>
      <c r="T5" s="30">
        <f>(E5-R5)/(E5-P5)</f>
        <v>9.0909090909090329E-2</v>
      </c>
      <c r="U5" s="123" t="s">
        <v>115</v>
      </c>
      <c r="V5" s="716">
        <v>2.5000000000000001E-2</v>
      </c>
      <c r="W5" s="13">
        <f>+D5</f>
        <v>2.5000000000000001E-2</v>
      </c>
      <c r="X5" s="167">
        <f>+Q5</f>
        <v>3.0800000000000001E-2</v>
      </c>
      <c r="Y5" s="167">
        <f>+R5</f>
        <v>3.0800000000000001E-2</v>
      </c>
      <c r="Z5" s="30">
        <f>(E5-X5)/(E5-V5)</f>
        <v>3.3333333333333139E-2</v>
      </c>
      <c r="AA5" s="30">
        <f>+(E5-Y5)/(E5-W5)</f>
        <v>3.3333333333333139E-2</v>
      </c>
      <c r="AB5" s="168">
        <f>+Z5</f>
        <v>3.3333333333333139E-2</v>
      </c>
      <c r="AC5" s="715" t="s">
        <v>375</v>
      </c>
    </row>
    <row r="6" spans="1:29" ht="30" x14ac:dyDescent="0.25">
      <c r="A6" s="4" t="s">
        <v>156</v>
      </c>
      <c r="B6" s="54" t="s">
        <v>177</v>
      </c>
      <c r="C6" s="57" t="s">
        <v>186</v>
      </c>
      <c r="D6" s="13">
        <v>0.69</v>
      </c>
      <c r="E6" s="168">
        <v>0.621</v>
      </c>
      <c r="F6" s="61">
        <v>0.63278000000000001</v>
      </c>
      <c r="G6" s="14">
        <v>0.63139999999999996</v>
      </c>
      <c r="H6" s="123">
        <f>+(G6-E6)/(F6-E6)</f>
        <v>0.88285229202036963</v>
      </c>
      <c r="I6" s="158">
        <v>0.65627000000000002</v>
      </c>
      <c r="J6" s="60">
        <v>0.65629999999999999</v>
      </c>
      <c r="K6" s="32">
        <v>0.64980000000000004</v>
      </c>
      <c r="L6" s="14">
        <v>0.64980000000000004</v>
      </c>
      <c r="M6" s="30">
        <f>+(K6-E6)/(I6-E6)</f>
        <v>0.81655798128721369</v>
      </c>
      <c r="N6" s="30">
        <f>+(L6-E6)/(D6-E6)</f>
        <v>0.41739130434782706</v>
      </c>
      <c r="O6" s="158">
        <v>0.67976000000000003</v>
      </c>
      <c r="P6" s="14">
        <v>0.67976000000000003</v>
      </c>
      <c r="Q6" s="308">
        <v>0.66759999999999997</v>
      </c>
      <c r="R6" s="60">
        <f>+Q6</f>
        <v>0.66759999999999997</v>
      </c>
      <c r="S6" s="281">
        <f>+(Q6-E6)/(O6-E6)</f>
        <v>0.79305650102110192</v>
      </c>
      <c r="T6" s="281">
        <f>+(R6-E6)/(D6-E6)</f>
        <v>0.67536231884057984</v>
      </c>
      <c r="U6" s="123" t="s">
        <v>115</v>
      </c>
      <c r="V6" s="716">
        <v>0.69</v>
      </c>
      <c r="W6" s="13">
        <f>+D6</f>
        <v>0.69</v>
      </c>
      <c r="X6" s="167">
        <f>+Q6</f>
        <v>0.66759999999999997</v>
      </c>
      <c r="Y6" s="167">
        <f>+X6</f>
        <v>0.66759999999999997</v>
      </c>
      <c r="Z6" s="281">
        <f>+(X6-E6)/(V6-E6)</f>
        <v>0.67536231884057984</v>
      </c>
      <c r="AA6" s="281">
        <f>+(Y6-E6)/(W6-E6)</f>
        <v>0.67536231884057984</v>
      </c>
      <c r="AB6" s="168">
        <f t="shared" ref="AB6" si="2">+Z6</f>
        <v>0.67536231884057984</v>
      </c>
      <c r="AC6" s="715" t="s">
        <v>375</v>
      </c>
    </row>
    <row r="7" spans="1:29" ht="30" x14ac:dyDescent="0.25">
      <c r="A7" s="4" t="s">
        <v>7</v>
      </c>
      <c r="B7" s="54" t="s">
        <v>177</v>
      </c>
      <c r="C7" s="57" t="s">
        <v>189</v>
      </c>
      <c r="D7" s="29">
        <v>1000</v>
      </c>
      <c r="E7" s="200">
        <v>168</v>
      </c>
      <c r="F7" s="700">
        <v>150</v>
      </c>
      <c r="G7" s="17">
        <v>486</v>
      </c>
      <c r="H7" s="123">
        <f>+G7/F7</f>
        <v>3.24</v>
      </c>
      <c r="I7" s="180">
        <v>300</v>
      </c>
      <c r="J7" s="701">
        <f>+F7+I7</f>
        <v>450</v>
      </c>
      <c r="K7" s="18">
        <v>248</v>
      </c>
      <c r="L7" s="18">
        <f>+G7+K7</f>
        <v>734</v>
      </c>
      <c r="M7" s="438">
        <f>+K7/I7</f>
        <v>0.82666666666666666</v>
      </c>
      <c r="N7" s="442">
        <f>+L7/$K7</f>
        <v>2.9596774193548385</v>
      </c>
      <c r="O7" s="56">
        <f>350</f>
        <v>350</v>
      </c>
      <c r="P7" s="27">
        <f>+J7+O7</f>
        <v>800</v>
      </c>
      <c r="Q7" s="460">
        <v>62</v>
      </c>
      <c r="R7" s="63">
        <f>+L7+Q7</f>
        <v>796</v>
      </c>
      <c r="S7" s="30">
        <f>+Q7/O7</f>
        <v>0.17714285714285713</v>
      </c>
      <c r="T7" s="30">
        <f>+R7/$Q7</f>
        <v>12.838709677419354</v>
      </c>
      <c r="U7" s="126" t="s">
        <v>115</v>
      </c>
      <c r="V7" s="717">
        <v>200</v>
      </c>
      <c r="W7" s="29">
        <f>+P7+V7</f>
        <v>1000</v>
      </c>
      <c r="X7" s="165">
        <v>0</v>
      </c>
      <c r="Y7" s="165">
        <f>+R7+X7</f>
        <v>796</v>
      </c>
      <c r="Z7" s="30">
        <f t="shared" ref="Z7" si="3">+X7/V7</f>
        <v>0</v>
      </c>
      <c r="AA7" s="30">
        <f>+Y7/W7</f>
        <v>0.79600000000000004</v>
      </c>
      <c r="AB7" s="168">
        <f>+AA7</f>
        <v>0.79600000000000004</v>
      </c>
      <c r="AC7" s="715" t="s">
        <v>375</v>
      </c>
    </row>
    <row r="8" spans="1:29" ht="45" x14ac:dyDescent="0.25">
      <c r="A8" s="4" t="s">
        <v>8</v>
      </c>
      <c r="B8" s="54" t="s">
        <v>177</v>
      </c>
      <c r="C8" s="57" t="s">
        <v>183</v>
      </c>
      <c r="D8" s="13">
        <v>0.45</v>
      </c>
      <c r="E8" s="168">
        <v>0.371</v>
      </c>
      <c r="F8" s="61">
        <v>0.38854</v>
      </c>
      <c r="G8" s="14">
        <v>0.42159999999999997</v>
      </c>
      <c r="H8" s="123">
        <f>+G8/F8</f>
        <v>1.0850877644515364</v>
      </c>
      <c r="I8" s="158">
        <v>0.40622999999999998</v>
      </c>
      <c r="J8" s="60">
        <v>0.40620000000000001</v>
      </c>
      <c r="K8" s="32">
        <v>0.38200000000000001</v>
      </c>
      <c r="L8" s="14">
        <v>0.38200000000000001</v>
      </c>
      <c r="M8" s="30">
        <f>+K8/I8</f>
        <v>0.94035398665780479</v>
      </c>
      <c r="N8" s="30">
        <f>+L8/J8</f>
        <v>0.94042343673067452</v>
      </c>
      <c r="O8" s="158">
        <v>0.42392000000000002</v>
      </c>
      <c r="P8" s="14">
        <v>0.42392000000000002</v>
      </c>
      <c r="Q8" s="311">
        <v>0.34360000000000002</v>
      </c>
      <c r="R8" s="60">
        <f>+Q8</f>
        <v>0.34360000000000002</v>
      </c>
      <c r="S8" s="281">
        <f>+Q8/O8</f>
        <v>0.81053028873372335</v>
      </c>
      <c r="T8" s="30">
        <f>+R8/P8</f>
        <v>0.81053028873372335</v>
      </c>
      <c r="U8" s="123" t="s">
        <v>115</v>
      </c>
      <c r="V8" s="716">
        <v>0.45</v>
      </c>
      <c r="W8" s="13">
        <f t="shared" ref="W8:W27" si="4">+D8</f>
        <v>0.45</v>
      </c>
      <c r="X8" s="167">
        <f>+Q8</f>
        <v>0.34360000000000002</v>
      </c>
      <c r="Y8" s="167">
        <f>+X8</f>
        <v>0.34360000000000002</v>
      </c>
      <c r="Z8" s="281">
        <f>+X8/V8</f>
        <v>0.76355555555555554</v>
      </c>
      <c r="AA8" s="30">
        <f>+Y8/W8</f>
        <v>0.76355555555555554</v>
      </c>
      <c r="AB8" s="168">
        <f t="shared" ref="AB8:AB10" si="5">+AA8</f>
        <v>0.76355555555555554</v>
      </c>
      <c r="AC8" s="715" t="s">
        <v>376</v>
      </c>
    </row>
    <row r="9" spans="1:29" ht="45" x14ac:dyDescent="0.25">
      <c r="A9" s="4" t="s">
        <v>9</v>
      </c>
      <c r="B9" s="54" t="s">
        <v>177</v>
      </c>
      <c r="C9" s="57" t="s">
        <v>183</v>
      </c>
      <c r="D9" s="13">
        <v>0.42</v>
      </c>
      <c r="E9" s="168">
        <v>0.35699999999999998</v>
      </c>
      <c r="F9" s="61">
        <v>0.37385000000000002</v>
      </c>
      <c r="G9" s="14">
        <v>0.42659999999999998</v>
      </c>
      <c r="H9" s="123">
        <f>+G9/F9</f>
        <v>1.1410993714056439</v>
      </c>
      <c r="I9" s="158">
        <v>0.39087</v>
      </c>
      <c r="J9" s="60">
        <v>0.39090000000000003</v>
      </c>
      <c r="K9" s="32">
        <v>0.39400000000000002</v>
      </c>
      <c r="L9" s="14">
        <v>0.39400000000000002</v>
      </c>
      <c r="M9" s="30">
        <f>+K9/I9</f>
        <v>1.0080077775219383</v>
      </c>
      <c r="N9" s="30">
        <f>+L9/J9</f>
        <v>1.0079304169864416</v>
      </c>
      <c r="O9" s="158">
        <v>0.40788999999999997</v>
      </c>
      <c r="P9" s="14">
        <v>0.40788999999999997</v>
      </c>
      <c r="Q9" s="311">
        <v>0.35289999999999999</v>
      </c>
      <c r="R9" s="60">
        <f>+Q9</f>
        <v>0.35289999999999999</v>
      </c>
      <c r="S9" s="281">
        <f>+Q9/O9</f>
        <v>0.86518424084924861</v>
      </c>
      <c r="T9" s="30">
        <f>+R9/P9</f>
        <v>0.86518424084924861</v>
      </c>
      <c r="U9" s="123" t="s">
        <v>115</v>
      </c>
      <c r="V9" s="716">
        <v>0.42</v>
      </c>
      <c r="W9" s="13">
        <f t="shared" si="4"/>
        <v>0.42</v>
      </c>
      <c r="X9" s="167">
        <f>+Q9</f>
        <v>0.35289999999999999</v>
      </c>
      <c r="Y9" s="167">
        <f>+X9</f>
        <v>0.35289999999999999</v>
      </c>
      <c r="Z9" s="281">
        <f>+X9/V9</f>
        <v>0.84023809523809523</v>
      </c>
      <c r="AA9" s="30">
        <f>+Y9/W9</f>
        <v>0.84023809523809523</v>
      </c>
      <c r="AB9" s="168">
        <f t="shared" si="5"/>
        <v>0.84023809523809523</v>
      </c>
      <c r="AC9" s="715" t="s">
        <v>376</v>
      </c>
    </row>
    <row r="10" spans="1:29" x14ac:dyDescent="0.25">
      <c r="A10" s="78" t="s">
        <v>10</v>
      </c>
      <c r="B10" s="54" t="s">
        <v>177</v>
      </c>
      <c r="C10" s="57" t="s">
        <v>186</v>
      </c>
      <c r="D10" s="32">
        <v>5.1700000000000003E-2</v>
      </c>
      <c r="E10" s="168">
        <v>5.8099999999999999E-2</v>
      </c>
      <c r="F10" s="51">
        <v>5.3499999999999999E-2</v>
      </c>
      <c r="G10" s="31">
        <v>5.7500000000000002E-2</v>
      </c>
      <c r="H10" s="123">
        <f>(E10-G10)/(E10-F10)</f>
        <v>0.13043478260869487</v>
      </c>
      <c r="I10" s="158">
        <v>5.3600000000000002E-2</v>
      </c>
      <c r="J10" s="40">
        <v>5.3600000000000002E-2</v>
      </c>
      <c r="K10" s="32">
        <v>5.3499999999999999E-2</v>
      </c>
      <c r="L10" s="31">
        <v>5.3499999999999999E-2</v>
      </c>
      <c r="M10" s="30">
        <f>+(E10-K10)/(E10-I10)</f>
        <v>1.0222222222222228</v>
      </c>
      <c r="N10" s="123">
        <f>+(E10-L10)/(E10-D10)</f>
        <v>0.71875000000000044</v>
      </c>
      <c r="O10" s="51">
        <v>5.2499999999999998E-2</v>
      </c>
      <c r="P10" s="31">
        <v>5.2499999999999998E-2</v>
      </c>
      <c r="Q10" s="311">
        <v>5.2400000000000002E-2</v>
      </c>
      <c r="R10" s="40">
        <v>5.2400000000000002E-2</v>
      </c>
      <c r="S10" s="30">
        <f>+(E10-Q10)/(E10-O10)</f>
        <v>1.0178571428571421</v>
      </c>
      <c r="T10" s="30">
        <f>(E10-R10)/(E10-P10)</f>
        <v>1.0178571428571421</v>
      </c>
      <c r="U10" s="123" t="s">
        <v>115</v>
      </c>
      <c r="V10" s="716">
        <v>5.1700000000000003E-2</v>
      </c>
      <c r="W10" s="32">
        <f t="shared" si="4"/>
        <v>5.1700000000000003E-2</v>
      </c>
      <c r="X10" s="168">
        <v>5.2400000000000002E-2</v>
      </c>
      <c r="Y10" s="168">
        <v>5.2400000000000002E-2</v>
      </c>
      <c r="Z10" s="30">
        <f>(E10-X10)/(E10-V10)</f>
        <v>0.890625</v>
      </c>
      <c r="AA10" s="30">
        <f>+(E10-Y10)/(E10-W10)</f>
        <v>0.890625</v>
      </c>
      <c r="AB10" s="168">
        <f t="shared" si="5"/>
        <v>0.890625</v>
      </c>
      <c r="AC10" s="715" t="s">
        <v>375</v>
      </c>
    </row>
    <row r="11" spans="1:29" ht="30" customHeight="1" x14ac:dyDescent="0.25">
      <c r="A11" s="78" t="s">
        <v>11</v>
      </c>
      <c r="B11" s="54" t="s">
        <v>177</v>
      </c>
      <c r="C11" s="57" t="s">
        <v>192</v>
      </c>
      <c r="D11" s="29">
        <v>357218</v>
      </c>
      <c r="E11" s="200">
        <v>419082</v>
      </c>
      <c r="F11" s="702">
        <f>121397</f>
        <v>121397</v>
      </c>
      <c r="G11" s="19">
        <v>71577</v>
      </c>
      <c r="H11" s="123">
        <f>+G11/F11</f>
        <v>0.58961094590475882</v>
      </c>
      <c r="I11" s="161">
        <v>170821</v>
      </c>
      <c r="J11" s="55">
        <f>+F11+I11</f>
        <v>292218</v>
      </c>
      <c r="K11" s="19">
        <f>85159</f>
        <v>85159</v>
      </c>
      <c r="L11" s="27">
        <f>+G11+K11</f>
        <v>156736</v>
      </c>
      <c r="M11" s="437">
        <f>+K11/I11</f>
        <v>0.49852769858506857</v>
      </c>
      <c r="N11" s="442">
        <f>+L11/$K11</f>
        <v>1.8405101046278138</v>
      </c>
      <c r="O11" s="56">
        <v>35000</v>
      </c>
      <c r="P11" s="27">
        <f>+J11+O11</f>
        <v>327218</v>
      </c>
      <c r="Q11" s="66">
        <v>52634</v>
      </c>
      <c r="R11" s="66">
        <f>+L11+Q11</f>
        <v>209370</v>
      </c>
      <c r="S11" s="30">
        <f>+Q11/O11</f>
        <v>1.5038285714285715</v>
      </c>
      <c r="T11" s="30">
        <f>+R11/$Q11</f>
        <v>3.9778470190371245</v>
      </c>
      <c r="U11" s="123" t="s">
        <v>115</v>
      </c>
      <c r="V11" s="717">
        <v>30000</v>
      </c>
      <c r="W11" s="29">
        <f>+P11+V11</f>
        <v>357218</v>
      </c>
      <c r="X11" s="165">
        <v>13334</v>
      </c>
      <c r="Y11" s="165">
        <f>+R11</f>
        <v>209370</v>
      </c>
      <c r="Z11" s="30">
        <f>+X11/V11</f>
        <v>0.44446666666666668</v>
      </c>
      <c r="AA11" s="30">
        <f>+Y11/W11</f>
        <v>0.58611268189172994</v>
      </c>
      <c r="AB11" s="168">
        <f>+AA11</f>
        <v>0.58611268189172994</v>
      </c>
      <c r="AC11" s="715" t="s">
        <v>420</v>
      </c>
    </row>
    <row r="12" spans="1:29" ht="30" x14ac:dyDescent="0.25">
      <c r="A12" s="4" t="s">
        <v>12</v>
      </c>
      <c r="B12" s="54" t="s">
        <v>177</v>
      </c>
      <c r="C12" s="57" t="s">
        <v>186</v>
      </c>
      <c r="D12" s="32">
        <v>0.75670000000000004</v>
      </c>
      <c r="E12" s="168">
        <v>0.7147</v>
      </c>
      <c r="F12" s="51">
        <v>0.71479999999999999</v>
      </c>
      <c r="G12" s="32">
        <v>0.72970000000000002</v>
      </c>
      <c r="H12" s="123">
        <f>+(G12-E12)/(F12-E12)</f>
        <v>150.00000000001666</v>
      </c>
      <c r="I12" s="158">
        <v>0.72319999999999995</v>
      </c>
      <c r="J12" s="40">
        <v>0.72319999999999995</v>
      </c>
      <c r="K12" s="32">
        <v>0.75239999999999996</v>
      </c>
      <c r="L12" s="32">
        <v>0.75239999999999996</v>
      </c>
      <c r="M12" s="30">
        <f>+(K12-E12)/(I12-E12)</f>
        <v>4.4352941176470786</v>
      </c>
      <c r="N12" s="30">
        <f>+(L12-E12)/(D12-E12)</f>
        <v>0.89761904761904576</v>
      </c>
      <c r="O12" s="158">
        <v>0.74329999999999996</v>
      </c>
      <c r="P12" s="31">
        <v>0.74329999999999996</v>
      </c>
      <c r="Q12" s="40">
        <v>0.76570000000000005</v>
      </c>
      <c r="R12" s="60">
        <v>0.76570000000000005</v>
      </c>
      <c r="S12" s="281">
        <f>+(Q12-E12)/(O12-E12)</f>
        <v>1.7832167832167873</v>
      </c>
      <c r="T12" s="30">
        <f>+(R12-E12)/(D12-E12)</f>
        <v>1.2142857142857142</v>
      </c>
      <c r="U12" s="123" t="s">
        <v>115</v>
      </c>
      <c r="V12" s="716">
        <f>+D12</f>
        <v>0.75670000000000004</v>
      </c>
      <c r="W12" s="32">
        <f>+V12</f>
        <v>0.75670000000000004</v>
      </c>
      <c r="X12" s="168">
        <v>0.76570000000000005</v>
      </c>
      <c r="Y12" s="168">
        <v>0.76570000000000005</v>
      </c>
      <c r="Z12" s="30">
        <f>+(X12-E12)/(V12-E12)</f>
        <v>1.2142857142857142</v>
      </c>
      <c r="AA12" s="30">
        <f>+(Y12-E12)/(D12-E12)</f>
        <v>1.2142857142857142</v>
      </c>
      <c r="AB12" s="168">
        <f>+AA12</f>
        <v>1.2142857142857142</v>
      </c>
      <c r="AC12" s="715" t="s">
        <v>375</v>
      </c>
    </row>
    <row r="13" spans="1:29" x14ac:dyDescent="0.25">
      <c r="A13" s="4" t="s">
        <v>13</v>
      </c>
      <c r="B13" s="54" t="s">
        <v>177</v>
      </c>
      <c r="C13" s="57" t="s">
        <v>186</v>
      </c>
      <c r="D13" s="32">
        <v>0.84330000000000005</v>
      </c>
      <c r="E13" s="168">
        <v>0.73</v>
      </c>
      <c r="F13" s="51">
        <v>0.77539999999999998</v>
      </c>
      <c r="G13" s="32">
        <v>0.73770000000000002</v>
      </c>
      <c r="H13" s="123">
        <f>+(G13-E13)/(F13-E13)</f>
        <v>0.16960352422907579</v>
      </c>
      <c r="I13" s="158">
        <v>0.79800000000000004</v>
      </c>
      <c r="J13" s="40">
        <v>0.70499999999999996</v>
      </c>
      <c r="K13" s="32">
        <v>0.75439999999999996</v>
      </c>
      <c r="L13" s="32">
        <v>0.75439999999999996</v>
      </c>
      <c r="M13" s="30">
        <f>+(K13-E13)/(I13-E13)</f>
        <v>0.35882352941176404</v>
      </c>
      <c r="N13" s="30">
        <f>+(L13-E13)/(D13-E13)</f>
        <v>0.21535745807590434</v>
      </c>
      <c r="O13" s="158">
        <v>0.82069999999999999</v>
      </c>
      <c r="P13" s="31">
        <v>0.70930000000000004</v>
      </c>
      <c r="Q13" s="40">
        <v>0.75449999999999995</v>
      </c>
      <c r="R13" s="60">
        <v>0.75449999999999995</v>
      </c>
      <c r="S13" s="281">
        <f>+(Q13-E13)/(O13-E13)</f>
        <v>0.27012127894156523</v>
      </c>
      <c r="T13" s="30">
        <f>+(R13-E13)/(D13-E13)</f>
        <v>0.21624007060900222</v>
      </c>
      <c r="U13" s="123" t="s">
        <v>115</v>
      </c>
      <c r="V13" s="716">
        <v>0.84330000000000005</v>
      </c>
      <c r="W13" s="32">
        <f t="shared" si="4"/>
        <v>0.84330000000000005</v>
      </c>
      <c r="X13" s="168">
        <f>+Q13</f>
        <v>0.75449999999999995</v>
      </c>
      <c r="Y13" s="168">
        <f>+X13</f>
        <v>0.75449999999999995</v>
      </c>
      <c r="Z13" s="30">
        <f>+(X13-E13)/(V13-E13)</f>
        <v>0.21624007060900222</v>
      </c>
      <c r="AA13" s="30">
        <f>+(Y13-E13)/(D13-E13)</f>
        <v>0.21624007060900222</v>
      </c>
      <c r="AB13" s="168">
        <f>+AA13</f>
        <v>0.21624007060900222</v>
      </c>
      <c r="AC13" s="715" t="s">
        <v>375</v>
      </c>
    </row>
    <row r="14" spans="1:29" ht="30" x14ac:dyDescent="0.25">
      <c r="A14" s="4" t="s">
        <v>14</v>
      </c>
      <c r="B14" s="54" t="s">
        <v>177</v>
      </c>
      <c r="C14" s="57" t="s">
        <v>193</v>
      </c>
      <c r="D14" s="29">
        <v>135964</v>
      </c>
      <c r="E14" s="200">
        <v>109658</v>
      </c>
      <c r="F14" s="702">
        <v>120180</v>
      </c>
      <c r="G14" s="19">
        <v>102105</v>
      </c>
      <c r="H14" s="249">
        <f>+G14/F14</f>
        <v>0.849600599101348</v>
      </c>
      <c r="I14" s="161">
        <v>125441</v>
      </c>
      <c r="J14" s="55">
        <v>125441</v>
      </c>
      <c r="K14" s="19">
        <v>107437</v>
      </c>
      <c r="L14" s="19">
        <v>107437</v>
      </c>
      <c r="M14" s="30">
        <f>+(K14-0)/(I14-0)</f>
        <v>0.8564743584633413</v>
      </c>
      <c r="N14" s="30">
        <f>+(L14-0)/(D14-0)</f>
        <v>0.79018710835221084</v>
      </c>
      <c r="O14" s="161">
        <v>130703</v>
      </c>
      <c r="P14" s="27">
        <v>130703</v>
      </c>
      <c r="Q14" s="66">
        <v>112959</v>
      </c>
      <c r="R14" s="66">
        <v>112959</v>
      </c>
      <c r="S14" s="30">
        <f>+Q14/O14</f>
        <v>0.86424183071543881</v>
      </c>
      <c r="T14" s="30">
        <f t="shared" ref="T14" si="6">+R14/$Q14</f>
        <v>1</v>
      </c>
      <c r="U14" s="123" t="s">
        <v>115</v>
      </c>
      <c r="V14" s="717">
        <v>135964</v>
      </c>
      <c r="W14" s="29">
        <f t="shared" si="4"/>
        <v>135964</v>
      </c>
      <c r="X14" s="165">
        <v>0</v>
      </c>
      <c r="Y14" s="165">
        <f>+R14</f>
        <v>112959</v>
      </c>
      <c r="Z14" s="281">
        <f t="shared" ref="Z14:AA18" si="7">+X14/V14</f>
        <v>0</v>
      </c>
      <c r="AA14" s="30">
        <f t="shared" si="7"/>
        <v>0.83080080021182079</v>
      </c>
      <c r="AB14" s="168">
        <f>+AA14</f>
        <v>0.83080080021182079</v>
      </c>
      <c r="AC14" s="715" t="s">
        <v>375</v>
      </c>
    </row>
    <row r="15" spans="1:29" ht="30" x14ac:dyDescent="0.25">
      <c r="A15" s="4" t="s">
        <v>15</v>
      </c>
      <c r="B15" s="54" t="s">
        <v>177</v>
      </c>
      <c r="C15" s="57" t="s">
        <v>194</v>
      </c>
      <c r="D15" s="29">
        <v>311</v>
      </c>
      <c r="E15" s="200">
        <v>251</v>
      </c>
      <c r="F15" s="702">
        <v>275</v>
      </c>
      <c r="G15" s="18">
        <v>247</v>
      </c>
      <c r="H15" s="249">
        <f>+G15/F15</f>
        <v>0.89818181818181819</v>
      </c>
      <c r="I15" s="161">
        <v>287</v>
      </c>
      <c r="J15" s="701">
        <v>287</v>
      </c>
      <c r="K15" s="19">
        <v>250</v>
      </c>
      <c r="L15" s="18">
        <v>250</v>
      </c>
      <c r="M15" s="30">
        <f>+K15/I15</f>
        <v>0.87108013937282225</v>
      </c>
      <c r="N15" s="30">
        <f>+L15/D15</f>
        <v>0.8038585209003215</v>
      </c>
      <c r="O15" s="161">
        <v>299</v>
      </c>
      <c r="P15" s="27">
        <v>299</v>
      </c>
      <c r="Q15" s="54">
        <v>242</v>
      </c>
      <c r="R15" s="66">
        <v>242</v>
      </c>
      <c r="S15" s="281">
        <f>+Q15/O15</f>
        <v>0.80936454849498329</v>
      </c>
      <c r="T15" s="30">
        <f>+R15/P15</f>
        <v>0.80936454849498329</v>
      </c>
      <c r="U15" s="123" t="s">
        <v>115</v>
      </c>
      <c r="V15" s="717">
        <v>311</v>
      </c>
      <c r="W15" s="29">
        <f t="shared" si="4"/>
        <v>311</v>
      </c>
      <c r="X15" s="165">
        <f>+Q15</f>
        <v>242</v>
      </c>
      <c r="Y15" s="165">
        <f>+X15</f>
        <v>242</v>
      </c>
      <c r="Z15" s="281">
        <f t="shared" si="7"/>
        <v>0.77813504823151125</v>
      </c>
      <c r="AA15" s="30">
        <f t="shared" si="7"/>
        <v>0.77813504823151125</v>
      </c>
      <c r="AB15" s="168">
        <f t="shared" ref="AB15:AB19" si="8">+AA15</f>
        <v>0.77813504823151125</v>
      </c>
      <c r="AC15" s="715" t="s">
        <v>375</v>
      </c>
    </row>
    <row r="16" spans="1:29" x14ac:dyDescent="0.25">
      <c r="A16" s="78" t="s">
        <v>16</v>
      </c>
      <c r="B16" s="54" t="s">
        <v>177</v>
      </c>
      <c r="C16" s="57" t="s">
        <v>186</v>
      </c>
      <c r="D16" s="32">
        <v>0.78320000000000001</v>
      </c>
      <c r="E16" s="168">
        <v>0.73309999999999997</v>
      </c>
      <c r="F16" s="51">
        <v>0.75700000000000001</v>
      </c>
      <c r="G16" s="32">
        <v>0.73450000000000004</v>
      </c>
      <c r="H16" s="123">
        <f>+G16/F16</f>
        <v>0.97027741083223251</v>
      </c>
      <c r="I16" s="158">
        <v>0.75719999999999998</v>
      </c>
      <c r="J16" s="40">
        <v>0.75719999999999998</v>
      </c>
      <c r="K16" s="32">
        <v>0.73399999999999999</v>
      </c>
      <c r="L16" s="32">
        <v>0.73399999999999999</v>
      </c>
      <c r="M16" s="437">
        <f>+K16/I16</f>
        <v>0.96936080295826732</v>
      </c>
      <c r="N16" s="442">
        <f>+L16/$K16</f>
        <v>1</v>
      </c>
      <c r="O16" s="51">
        <v>0.7681</v>
      </c>
      <c r="P16" s="31">
        <v>0.7681</v>
      </c>
      <c r="Q16" s="40">
        <v>0.73160000000000003</v>
      </c>
      <c r="R16" s="60">
        <v>0.73160000000000003</v>
      </c>
      <c r="S16" s="30">
        <f>+Q16/O16</f>
        <v>0.95248014581434715</v>
      </c>
      <c r="T16" s="30">
        <f>+R16/$Q16</f>
        <v>1</v>
      </c>
      <c r="U16" s="123" t="s">
        <v>115</v>
      </c>
      <c r="V16" s="716">
        <v>0.78320000000000001</v>
      </c>
      <c r="W16" s="32">
        <f t="shared" si="4"/>
        <v>0.78320000000000001</v>
      </c>
      <c r="X16" s="168">
        <f>+R16</f>
        <v>0.73160000000000003</v>
      </c>
      <c r="Y16" s="168">
        <f>+X16</f>
        <v>0.73160000000000003</v>
      </c>
      <c r="Z16" s="281">
        <f t="shared" si="7"/>
        <v>0.93411644535240046</v>
      </c>
      <c r="AA16" s="30">
        <f t="shared" si="7"/>
        <v>0.93411644535240046</v>
      </c>
      <c r="AB16" s="168">
        <f t="shared" si="8"/>
        <v>0.93411644535240046</v>
      </c>
      <c r="AC16" s="715" t="s">
        <v>375</v>
      </c>
    </row>
    <row r="17" spans="1:29" ht="30" x14ac:dyDescent="0.25">
      <c r="A17" s="4" t="s">
        <v>17</v>
      </c>
      <c r="B17" s="54" t="s">
        <v>177</v>
      </c>
      <c r="C17" s="57" t="s">
        <v>193</v>
      </c>
      <c r="D17" s="29">
        <v>366740</v>
      </c>
      <c r="E17" s="200">
        <v>362740</v>
      </c>
      <c r="F17" s="702">
        <v>363740</v>
      </c>
      <c r="G17" s="19">
        <v>336068</v>
      </c>
      <c r="H17" s="123">
        <f>+G17/F17</f>
        <v>0.92392368175070105</v>
      </c>
      <c r="I17" s="161">
        <v>364740</v>
      </c>
      <c r="J17" s="55">
        <v>364740</v>
      </c>
      <c r="K17" s="19">
        <v>335655</v>
      </c>
      <c r="L17" s="19">
        <v>335655</v>
      </c>
      <c r="M17" s="30">
        <f>+K17/I17</f>
        <v>0.92025826616219775</v>
      </c>
      <c r="N17" s="30">
        <f>+L17/J17</f>
        <v>0.92025826616219775</v>
      </c>
      <c r="O17" s="161">
        <v>365740</v>
      </c>
      <c r="P17" s="27">
        <v>365740</v>
      </c>
      <c r="Q17" s="66">
        <v>327111</v>
      </c>
      <c r="R17" s="66">
        <v>327111</v>
      </c>
      <c r="S17" s="281">
        <f>+(Q17-0)/(O17-0)</f>
        <v>0.89438125444304695</v>
      </c>
      <c r="T17" s="30">
        <f>+R17/P17</f>
        <v>0.89438125444304695</v>
      </c>
      <c r="U17" s="123" t="s">
        <v>115</v>
      </c>
      <c r="V17" s="717">
        <v>366740</v>
      </c>
      <c r="W17" s="29">
        <f t="shared" si="4"/>
        <v>366740</v>
      </c>
      <c r="X17" s="165">
        <v>327111</v>
      </c>
      <c r="Y17" s="165">
        <v>327111</v>
      </c>
      <c r="Z17" s="281">
        <f t="shared" si="7"/>
        <v>0.89194252058679169</v>
      </c>
      <c r="AA17" s="30">
        <f t="shared" si="7"/>
        <v>0.89194252058679169</v>
      </c>
      <c r="AB17" s="168">
        <f t="shared" si="8"/>
        <v>0.89194252058679169</v>
      </c>
      <c r="AC17" s="715" t="s">
        <v>375</v>
      </c>
    </row>
    <row r="18" spans="1:29" ht="30" x14ac:dyDescent="0.25">
      <c r="A18" s="4" t="s">
        <v>18</v>
      </c>
      <c r="B18" s="54" t="s">
        <v>177</v>
      </c>
      <c r="C18" s="57" t="s">
        <v>194</v>
      </c>
      <c r="D18" s="29">
        <v>5915</v>
      </c>
      <c r="E18" s="200">
        <v>5515</v>
      </c>
      <c r="F18" s="702">
        <v>5615</v>
      </c>
      <c r="G18" s="16">
        <v>5661</v>
      </c>
      <c r="H18" s="249">
        <f>+G18/F18</f>
        <v>1.0081923419412289</v>
      </c>
      <c r="I18" s="161">
        <v>5715</v>
      </c>
      <c r="J18" s="55">
        <v>5715</v>
      </c>
      <c r="K18" s="19">
        <v>5702</v>
      </c>
      <c r="L18" s="19">
        <v>5702</v>
      </c>
      <c r="M18" s="30">
        <f>+K18/I18</f>
        <v>0.99772528433945762</v>
      </c>
      <c r="N18" s="30">
        <f>+L18/D18</f>
        <v>0.96398985629754863</v>
      </c>
      <c r="O18" s="161">
        <v>5815</v>
      </c>
      <c r="P18" s="27">
        <v>5815</v>
      </c>
      <c r="Q18" s="66">
        <v>5654</v>
      </c>
      <c r="R18" s="66">
        <v>5654</v>
      </c>
      <c r="S18" s="281">
        <f>+Q18/O18</f>
        <v>0.97231298366294072</v>
      </c>
      <c r="T18" s="30">
        <f>+R18/P18</f>
        <v>0.97231298366294072</v>
      </c>
      <c r="U18" s="123" t="s">
        <v>115</v>
      </c>
      <c r="V18" s="717">
        <v>5915</v>
      </c>
      <c r="W18" s="29">
        <f t="shared" si="4"/>
        <v>5915</v>
      </c>
      <c r="X18" s="165">
        <f>+Q18</f>
        <v>5654</v>
      </c>
      <c r="Y18" s="165">
        <f>+X18</f>
        <v>5654</v>
      </c>
      <c r="Z18" s="281">
        <f t="shared" si="7"/>
        <v>0.9558748943364328</v>
      </c>
      <c r="AA18" s="30">
        <f t="shared" si="7"/>
        <v>0.9558748943364328</v>
      </c>
      <c r="AB18" s="168">
        <f t="shared" si="8"/>
        <v>0.9558748943364328</v>
      </c>
      <c r="AC18" s="715" t="s">
        <v>375</v>
      </c>
    </row>
    <row r="19" spans="1:29" ht="30" x14ac:dyDescent="0.25">
      <c r="A19" s="4" t="s">
        <v>19</v>
      </c>
      <c r="B19" s="54" t="s">
        <v>177</v>
      </c>
      <c r="C19" s="57" t="s">
        <v>186</v>
      </c>
      <c r="D19" s="13">
        <v>0.91039999999999999</v>
      </c>
      <c r="E19" s="168">
        <v>0.83819999999999995</v>
      </c>
      <c r="F19" s="51">
        <v>0.86709999999999998</v>
      </c>
      <c r="G19" s="13">
        <v>0.83379999999999999</v>
      </c>
      <c r="H19" s="123">
        <f>+(G19-E19)/(F19-E19)</f>
        <v>-0.15224913494809528</v>
      </c>
      <c r="I19" s="158">
        <v>0.88149999999999995</v>
      </c>
      <c r="J19" s="40">
        <v>0.88149999999999995</v>
      </c>
      <c r="K19" s="32">
        <v>0.84209999999999996</v>
      </c>
      <c r="L19" s="13">
        <v>0.84209999999999996</v>
      </c>
      <c r="M19" s="30">
        <f t="shared" ref="M19:M23" si="9">+(K19-E19)/(I19-E19)</f>
        <v>9.0069284064665453E-2</v>
      </c>
      <c r="N19" s="30">
        <f t="shared" ref="N19" si="10">+(L19-E19)/(D19-E19)</f>
        <v>5.401662049861513E-2</v>
      </c>
      <c r="O19" s="158">
        <v>0.86599999999999999</v>
      </c>
      <c r="P19" s="31">
        <v>0.86599999999999999</v>
      </c>
      <c r="Q19" s="40">
        <v>0.82850000000000001</v>
      </c>
      <c r="R19" s="60">
        <v>0.82850000000000001</v>
      </c>
      <c r="S19" s="281">
        <f>+(Q19-E19)/(O19-E19)</f>
        <v>-0.34892086330934946</v>
      </c>
      <c r="T19" s="281">
        <f>+(R19-E19)/(D19-E19)</f>
        <v>-0.13434903047091309</v>
      </c>
      <c r="U19" s="123" t="s">
        <v>115</v>
      </c>
      <c r="V19" s="716">
        <v>0.91039999999999999</v>
      </c>
      <c r="W19" s="13">
        <f t="shared" si="4"/>
        <v>0.91039999999999999</v>
      </c>
      <c r="X19" s="167">
        <f>+Q19</f>
        <v>0.82850000000000001</v>
      </c>
      <c r="Y19" s="167">
        <f>+X19</f>
        <v>0.82850000000000001</v>
      </c>
      <c r="Z19" s="281">
        <f>+(X19-E19)/(V19-E19)</f>
        <v>-0.13434903047091309</v>
      </c>
      <c r="AA19" s="281">
        <f>+(Y19-E19)/(W19-E19)</f>
        <v>-0.13434903047091309</v>
      </c>
      <c r="AB19" s="168">
        <f t="shared" si="8"/>
        <v>-0.13434903047091309</v>
      </c>
      <c r="AC19" s="715" t="s">
        <v>375</v>
      </c>
    </row>
    <row r="20" spans="1:29" ht="30" x14ac:dyDescent="0.25">
      <c r="A20" s="4" t="s">
        <v>20</v>
      </c>
      <c r="B20" s="54" t="s">
        <v>177</v>
      </c>
      <c r="C20" s="57" t="s">
        <v>194</v>
      </c>
      <c r="D20" s="29">
        <v>100</v>
      </c>
      <c r="E20" s="200">
        <v>0</v>
      </c>
      <c r="F20" s="702">
        <v>40</v>
      </c>
      <c r="G20" s="17">
        <v>97</v>
      </c>
      <c r="H20" s="123">
        <f t="shared" ref="H20" si="11">+(G20-E20)/(F20-E20)</f>
        <v>2.4249999999999998</v>
      </c>
      <c r="I20" s="161">
        <v>20</v>
      </c>
      <c r="J20" s="701">
        <v>60</v>
      </c>
      <c r="K20" s="19">
        <f>+L20-G20</f>
        <v>26</v>
      </c>
      <c r="L20" s="18">
        <v>123</v>
      </c>
      <c r="M20" s="30">
        <f t="shared" si="9"/>
        <v>1.3</v>
      </c>
      <c r="N20" s="30">
        <f>+(L20-E20)/(D20-E20)</f>
        <v>1.23</v>
      </c>
      <c r="O20" s="161">
        <v>20</v>
      </c>
      <c r="P20" s="27">
        <v>80</v>
      </c>
      <c r="Q20" s="375">
        <f>+R20-L20</f>
        <v>21</v>
      </c>
      <c r="R20" s="66">
        <v>144</v>
      </c>
      <c r="S20" s="281">
        <f t="shared" ref="S20:S23" si="12">+(Q20-E20)/(O20-E20)</f>
        <v>1.05</v>
      </c>
      <c r="T20" s="281">
        <f>+(R20-E20)/(D20-E20)</f>
        <v>1.44</v>
      </c>
      <c r="U20" s="123" t="s">
        <v>115</v>
      </c>
      <c r="V20" s="718">
        <v>100</v>
      </c>
      <c r="W20" s="29">
        <f t="shared" si="4"/>
        <v>100</v>
      </c>
      <c r="X20" s="165">
        <v>0</v>
      </c>
      <c r="Y20" s="165">
        <f>+R20+X20</f>
        <v>144</v>
      </c>
      <c r="Z20" s="281">
        <f>+(X20-E20)/(V20-E20)</f>
        <v>0</v>
      </c>
      <c r="AA20" s="281">
        <f>+(Y20-E20)/(W20-E20)</f>
        <v>1.44</v>
      </c>
      <c r="AB20" s="168">
        <f>+AA20</f>
        <v>1.44</v>
      </c>
      <c r="AC20" s="715" t="s">
        <v>375</v>
      </c>
    </row>
    <row r="21" spans="1:29" ht="30" x14ac:dyDescent="0.25">
      <c r="A21" s="4" t="s">
        <v>21</v>
      </c>
      <c r="B21" s="54" t="s">
        <v>177</v>
      </c>
      <c r="C21" s="57" t="s">
        <v>186</v>
      </c>
      <c r="D21" s="13">
        <v>0.189</v>
      </c>
      <c r="E21" s="168">
        <v>0.16930000000000001</v>
      </c>
      <c r="F21" s="51">
        <v>0.17399999999999999</v>
      </c>
      <c r="G21" s="13">
        <v>0.1981</v>
      </c>
      <c r="H21" s="123">
        <f>+(G21-E21)/(F21-E21)</f>
        <v>6.1276595744681073</v>
      </c>
      <c r="I21" s="158">
        <v>0.17899999999999999</v>
      </c>
      <c r="J21" s="40">
        <v>0.17899999999999999</v>
      </c>
      <c r="K21" s="32">
        <v>0.30599999999999999</v>
      </c>
      <c r="L21" s="13">
        <v>0.30599999999999999</v>
      </c>
      <c r="M21" s="30">
        <f>+(K21-E21)/(I21-E21)</f>
        <v>14.092783505154658</v>
      </c>
      <c r="N21" s="30">
        <f t="shared" ref="N21" si="13">+(L21-E21)/(D21-E21)</f>
        <v>6.9390862944162448</v>
      </c>
      <c r="O21" s="158">
        <v>0.184</v>
      </c>
      <c r="P21" s="31">
        <v>0.184</v>
      </c>
      <c r="Q21" s="40">
        <f>+K21</f>
        <v>0.30599999999999999</v>
      </c>
      <c r="R21" s="60">
        <f>+L21</f>
        <v>0.30599999999999999</v>
      </c>
      <c r="S21" s="281">
        <f t="shared" si="12"/>
        <v>9.2993197278911612</v>
      </c>
      <c r="T21" s="281">
        <f>+(R21-E21)/(D21-E21)</f>
        <v>6.9390862944162448</v>
      </c>
      <c r="U21" s="123" t="s">
        <v>371</v>
      </c>
      <c r="V21" s="716">
        <v>0.189</v>
      </c>
      <c r="W21" s="13">
        <f t="shared" si="4"/>
        <v>0.189</v>
      </c>
      <c r="X21" s="167">
        <f>+Q21</f>
        <v>0.30599999999999999</v>
      </c>
      <c r="Y21" s="167">
        <f>+X21</f>
        <v>0.30599999999999999</v>
      </c>
      <c r="Z21" s="281">
        <f>+(X21-E21)/(V21-E21)</f>
        <v>6.9390862944162448</v>
      </c>
      <c r="AA21" s="281">
        <f>+(Y21-E21)/(W21-E21)</f>
        <v>6.9390862944162448</v>
      </c>
      <c r="AB21" s="168">
        <f>+AA21</f>
        <v>6.9390862944162448</v>
      </c>
      <c r="AC21" s="715" t="s">
        <v>376</v>
      </c>
    </row>
    <row r="22" spans="1:29" ht="30" x14ac:dyDescent="0.25">
      <c r="A22" s="4" t="s">
        <v>22</v>
      </c>
      <c r="B22" s="54" t="s">
        <v>177</v>
      </c>
      <c r="C22" s="57" t="s">
        <v>194</v>
      </c>
      <c r="D22" s="29">
        <v>812</v>
      </c>
      <c r="E22" s="200">
        <v>784</v>
      </c>
      <c r="F22" s="702">
        <v>796</v>
      </c>
      <c r="G22" s="11">
        <v>782</v>
      </c>
      <c r="H22" s="249">
        <f>+G22/F22</f>
        <v>0.98241206030150752</v>
      </c>
      <c r="I22" s="161">
        <v>801</v>
      </c>
      <c r="J22" s="701">
        <v>801</v>
      </c>
      <c r="K22" s="19">
        <v>801</v>
      </c>
      <c r="L22" s="11">
        <v>801</v>
      </c>
      <c r="M22" s="30">
        <f>+K22/I22</f>
        <v>1</v>
      </c>
      <c r="N22" s="30">
        <f>+L22/D22</f>
        <v>0.98645320197044339</v>
      </c>
      <c r="O22" s="161">
        <v>807</v>
      </c>
      <c r="P22" s="27">
        <v>807</v>
      </c>
      <c r="Q22" s="54">
        <v>800</v>
      </c>
      <c r="R22" s="66">
        <v>800</v>
      </c>
      <c r="S22" s="281">
        <f>+Q22/O22</f>
        <v>0.99132589838909546</v>
      </c>
      <c r="T22" s="30">
        <f>+R22/P22</f>
        <v>0.99132589838909546</v>
      </c>
      <c r="U22" s="123" t="s">
        <v>115</v>
      </c>
      <c r="V22" s="717">
        <v>812</v>
      </c>
      <c r="W22" s="29">
        <f t="shared" si="4"/>
        <v>812</v>
      </c>
      <c r="X22" s="165">
        <f>+Q22</f>
        <v>800</v>
      </c>
      <c r="Y22" s="165">
        <f>+X22</f>
        <v>800</v>
      </c>
      <c r="Z22" s="281">
        <f>+X22/V22</f>
        <v>0.98522167487684731</v>
      </c>
      <c r="AA22" s="30">
        <f>+Y22/W22</f>
        <v>0.98522167487684731</v>
      </c>
      <c r="AB22" s="168">
        <f t="shared" ref="AB22:AB23" si="14">+AA22</f>
        <v>0.98522167487684731</v>
      </c>
      <c r="AC22" s="715" t="s">
        <v>375</v>
      </c>
    </row>
    <row r="23" spans="1:29" x14ac:dyDescent="0.25">
      <c r="A23" s="4" t="s">
        <v>23</v>
      </c>
      <c r="B23" s="54" t="s">
        <v>177</v>
      </c>
      <c r="C23" s="57" t="s">
        <v>186</v>
      </c>
      <c r="D23" s="13">
        <v>0.77090000000000003</v>
      </c>
      <c r="E23" s="168">
        <v>0.72760000000000002</v>
      </c>
      <c r="F23" s="51">
        <v>0.74319999999999997</v>
      </c>
      <c r="G23" s="13">
        <v>0.73050000000000004</v>
      </c>
      <c r="H23" s="123">
        <f>+(G23-E23)/(F23-E23)</f>
        <v>0.1858974358974374</v>
      </c>
      <c r="I23" s="158">
        <v>0.74990000000000001</v>
      </c>
      <c r="J23" s="40">
        <v>0.74990000000000001</v>
      </c>
      <c r="K23" s="32">
        <v>0.76849999999999996</v>
      </c>
      <c r="L23" s="13">
        <v>0.76849999999999996</v>
      </c>
      <c r="M23" s="30">
        <f t="shared" si="9"/>
        <v>1.8340807174887874</v>
      </c>
      <c r="N23" s="30">
        <f>+(L23-E23)/(D23-E23)</f>
        <v>0.94457274826789683</v>
      </c>
      <c r="O23" s="158">
        <v>0.76139999999999997</v>
      </c>
      <c r="P23" s="31">
        <v>0.76139999999999997</v>
      </c>
      <c r="Q23" s="40">
        <v>0.7772</v>
      </c>
      <c r="R23" s="60">
        <v>0.7772</v>
      </c>
      <c r="S23" s="281">
        <f t="shared" si="12"/>
        <v>1.4674556213017771</v>
      </c>
      <c r="T23" s="281">
        <f>+(R23-E23)/(D23-E23)</f>
        <v>1.1454965357967661</v>
      </c>
      <c r="U23" s="123" t="s">
        <v>115</v>
      </c>
      <c r="V23" s="716">
        <v>0.77090000000000003</v>
      </c>
      <c r="W23" s="13">
        <f t="shared" si="4"/>
        <v>0.77090000000000003</v>
      </c>
      <c r="X23" s="167">
        <f>+Q23</f>
        <v>0.7772</v>
      </c>
      <c r="Y23" s="167">
        <f>+X23</f>
        <v>0.7772</v>
      </c>
      <c r="Z23" s="281">
        <f>+(X23-E23)/(V23-E23)</f>
        <v>1.1454965357967661</v>
      </c>
      <c r="AA23" s="281">
        <f>+(Y23-E23)/(W23-E23)</f>
        <v>1.1454965357967661</v>
      </c>
      <c r="AB23" s="168">
        <f t="shared" si="14"/>
        <v>1.1454965357967661</v>
      </c>
      <c r="AC23" s="715" t="s">
        <v>375</v>
      </c>
    </row>
    <row r="24" spans="1:29" ht="30" x14ac:dyDescent="0.25">
      <c r="A24" s="4" t="s">
        <v>24</v>
      </c>
      <c r="B24" s="54" t="s">
        <v>177</v>
      </c>
      <c r="C24" s="57" t="s">
        <v>193</v>
      </c>
      <c r="D24" s="29">
        <v>500798</v>
      </c>
      <c r="E24" s="200">
        <v>432372</v>
      </c>
      <c r="F24" s="702">
        <f>494798</f>
        <v>494798</v>
      </c>
      <c r="G24" s="19">
        <f>397378</f>
        <v>397378</v>
      </c>
      <c r="H24" s="249">
        <f>+G24/F24</f>
        <v>0.80311157280344703</v>
      </c>
      <c r="I24" s="161">
        <v>496798</v>
      </c>
      <c r="J24" s="55">
        <v>496798</v>
      </c>
      <c r="K24" s="19">
        <v>419858</v>
      </c>
      <c r="L24" s="19">
        <v>419858</v>
      </c>
      <c r="M24" s="30">
        <f>+K24/I24</f>
        <v>0.84512820099919883</v>
      </c>
      <c r="N24" s="30">
        <f>+L24/J24</f>
        <v>0.84512820099919883</v>
      </c>
      <c r="O24" s="161">
        <v>498798</v>
      </c>
      <c r="P24" s="27">
        <v>498798</v>
      </c>
      <c r="Q24" s="66">
        <v>404271</v>
      </c>
      <c r="R24" s="66">
        <v>404271</v>
      </c>
      <c r="S24" s="281">
        <f>+Q24/O24</f>
        <v>0.81049041896719709</v>
      </c>
      <c r="T24" s="30">
        <f>+R24/P24</f>
        <v>0.81049041896719709</v>
      </c>
      <c r="U24" s="123" t="s">
        <v>115</v>
      </c>
      <c r="V24" s="717">
        <v>582001</v>
      </c>
      <c r="W24" s="29">
        <f t="shared" si="4"/>
        <v>500798</v>
      </c>
      <c r="X24" s="165">
        <v>0</v>
      </c>
      <c r="Y24" s="165">
        <f>+R24+X24</f>
        <v>404271</v>
      </c>
      <c r="Z24" s="281">
        <f>+X24/V24</f>
        <v>0</v>
      </c>
      <c r="AA24" s="30">
        <f>+Y24/W24</f>
        <v>0.80725362321734506</v>
      </c>
      <c r="AB24" s="168">
        <f>+AA24</f>
        <v>0.80725362321734506</v>
      </c>
      <c r="AC24" s="715" t="s">
        <v>375</v>
      </c>
    </row>
    <row r="25" spans="1:29" ht="30" x14ac:dyDescent="0.25">
      <c r="A25" s="78" t="s">
        <v>25</v>
      </c>
      <c r="B25" s="54" t="s">
        <v>177</v>
      </c>
      <c r="C25" s="57" t="s">
        <v>194</v>
      </c>
      <c r="D25" s="29">
        <v>3869</v>
      </c>
      <c r="E25" s="200">
        <v>5258</v>
      </c>
      <c r="F25" s="702">
        <v>3794</v>
      </c>
      <c r="G25" s="16">
        <v>3832</v>
      </c>
      <c r="H25" s="123">
        <f>+G25/F25</f>
        <v>1.0100158144438587</v>
      </c>
      <c r="I25" s="161">
        <v>3819</v>
      </c>
      <c r="J25" s="55">
        <v>3819</v>
      </c>
      <c r="K25" s="27">
        <v>4042</v>
      </c>
      <c r="L25" s="27">
        <v>4042</v>
      </c>
      <c r="M25" s="437">
        <f>+K25/I25</f>
        <v>1.0583922492799163</v>
      </c>
      <c r="N25" s="442">
        <f>+L25/$K25</f>
        <v>1</v>
      </c>
      <c r="O25" s="56">
        <v>3844</v>
      </c>
      <c r="P25" s="27">
        <v>3844</v>
      </c>
      <c r="Q25" s="66">
        <v>4525</v>
      </c>
      <c r="R25" s="66">
        <v>4525</v>
      </c>
      <c r="S25" s="30">
        <f>+Q25/O25</f>
        <v>1.1771592091571279</v>
      </c>
      <c r="T25" s="30">
        <f>+R25/$Q25</f>
        <v>1</v>
      </c>
      <c r="U25" s="123" t="s">
        <v>115</v>
      </c>
      <c r="V25" s="718">
        <v>3869</v>
      </c>
      <c r="W25" s="29">
        <f t="shared" si="4"/>
        <v>3869</v>
      </c>
      <c r="X25" s="165">
        <f>+R25</f>
        <v>4525</v>
      </c>
      <c r="Y25" s="165">
        <f>+X25</f>
        <v>4525</v>
      </c>
      <c r="Z25" s="281">
        <f>+X25/V25</f>
        <v>1.1695528560351511</v>
      </c>
      <c r="AA25" s="30">
        <f>+Y25/W25</f>
        <v>1.1695528560351511</v>
      </c>
      <c r="AB25" s="168">
        <f>+AA25</f>
        <v>1.1695528560351511</v>
      </c>
      <c r="AC25" s="715" t="s">
        <v>375</v>
      </c>
    </row>
    <row r="26" spans="1:29" x14ac:dyDescent="0.25">
      <c r="A26" s="78" t="s">
        <v>26</v>
      </c>
      <c r="B26" s="54" t="s">
        <v>177</v>
      </c>
      <c r="C26" s="57" t="s">
        <v>195</v>
      </c>
      <c r="D26" s="27">
        <v>553408</v>
      </c>
      <c r="E26" s="200">
        <v>690512</v>
      </c>
      <c r="F26" s="702">
        <v>669101</v>
      </c>
      <c r="G26" s="19">
        <v>670974</v>
      </c>
      <c r="H26" s="123">
        <f>(E26-G26)/(E26-F26)</f>
        <v>0.91252160104619118</v>
      </c>
      <c r="I26" s="161">
        <v>639206</v>
      </c>
      <c r="J26" s="55">
        <v>639206</v>
      </c>
      <c r="K26" s="27">
        <v>667431</v>
      </c>
      <c r="L26" s="19">
        <v>667431</v>
      </c>
      <c r="M26" s="437">
        <f>+(E26-K26)/(E26-I26)</f>
        <v>0.44986941098507</v>
      </c>
      <c r="N26" s="442">
        <f>+(E26-L26)/(E26-D26)</f>
        <v>0.16834665655268993</v>
      </c>
      <c r="O26" s="56">
        <v>603443</v>
      </c>
      <c r="P26" s="27">
        <v>603443</v>
      </c>
      <c r="Q26" s="581">
        <v>660327</v>
      </c>
      <c r="R26" s="66">
        <f>+Q26</f>
        <v>660327</v>
      </c>
      <c r="S26" s="30">
        <f>+(E26-Q26)/(E26-O26)</f>
        <v>0.34667907062215025</v>
      </c>
      <c r="T26" s="30">
        <f>(E26-R26)/(E26-P26)</f>
        <v>0.34667907062215025</v>
      </c>
      <c r="U26" s="123" t="s">
        <v>115</v>
      </c>
      <c r="V26" s="717">
        <v>553408</v>
      </c>
      <c r="W26" s="27">
        <f t="shared" si="4"/>
        <v>553408</v>
      </c>
      <c r="X26" s="162">
        <f>+Q26</f>
        <v>660327</v>
      </c>
      <c r="Y26" s="162">
        <f>+X26</f>
        <v>660327</v>
      </c>
      <c r="Z26" s="30">
        <f>(E26-X26)/(E26-V26)</f>
        <v>0.22016133737892402</v>
      </c>
      <c r="AA26" s="30">
        <f>+(E26-Y26)/(E26-W26)</f>
        <v>0.22016133737892402</v>
      </c>
      <c r="AB26" s="168">
        <f t="shared" ref="AB26" si="15">+AA26</f>
        <v>0.22016133737892402</v>
      </c>
      <c r="AC26" s="715" t="s">
        <v>375</v>
      </c>
    </row>
    <row r="27" spans="1:29" ht="60" x14ac:dyDescent="0.25">
      <c r="A27" s="4" t="s">
        <v>27</v>
      </c>
      <c r="B27" s="54" t="s">
        <v>178</v>
      </c>
      <c r="C27" s="57" t="s">
        <v>196</v>
      </c>
      <c r="D27" s="29">
        <v>30693</v>
      </c>
      <c r="E27" s="200">
        <v>0</v>
      </c>
      <c r="F27" s="702">
        <v>1562</v>
      </c>
      <c r="G27" s="29">
        <v>2772</v>
      </c>
      <c r="H27" s="123">
        <f>+(G27-E27)/(F27-E27)</f>
        <v>1.7746478873239437</v>
      </c>
      <c r="I27" s="161">
        <v>2722</v>
      </c>
      <c r="J27" s="55">
        <f>+F27+I27</f>
        <v>4284</v>
      </c>
      <c r="K27" s="27">
        <v>2508</v>
      </c>
      <c r="L27" s="434">
        <v>5280</v>
      </c>
      <c r="M27" s="30">
        <f>+(K27-E27)/(I27-E27)</f>
        <v>0.92138133725202054</v>
      </c>
      <c r="N27" s="30">
        <f>+(L27-E27)/(D27-E27)</f>
        <v>0.17202619489785945</v>
      </c>
      <c r="O27" s="161">
        <f>+P27-K27</f>
        <v>7790</v>
      </c>
      <c r="P27" s="27">
        <v>10298</v>
      </c>
      <c r="Q27" s="62">
        <v>2817</v>
      </c>
      <c r="R27" s="66">
        <v>8097</v>
      </c>
      <c r="S27" s="281">
        <f>+(Q27-E27)/(O27-E27)</f>
        <v>0.36161745827984598</v>
      </c>
      <c r="T27" s="30">
        <f>+R27/$Q27</f>
        <v>2.8743343982960599</v>
      </c>
      <c r="U27" s="123" t="s">
        <v>115</v>
      </c>
      <c r="V27" s="717">
        <f>+W27-P27</f>
        <v>20395</v>
      </c>
      <c r="W27" s="29">
        <f t="shared" si="4"/>
        <v>30693</v>
      </c>
      <c r="X27" s="165">
        <v>17781</v>
      </c>
      <c r="Y27" s="165">
        <v>23639</v>
      </c>
      <c r="Z27" s="30">
        <f t="shared" ref="Z27:AA31" si="16">+X27/V27</f>
        <v>0.87183133120862955</v>
      </c>
      <c r="AA27" s="30">
        <f>+Y27/W27</f>
        <v>0.77017561007395818</v>
      </c>
      <c r="AB27" s="168">
        <f>+AA27</f>
        <v>0.77017561007395818</v>
      </c>
      <c r="AC27" s="719" t="s">
        <v>390</v>
      </c>
    </row>
    <row r="28" spans="1:29" ht="30" x14ac:dyDescent="0.25">
      <c r="A28" s="4" t="s">
        <v>28</v>
      </c>
      <c r="B28" s="54" t="s">
        <v>177</v>
      </c>
      <c r="C28" s="57" t="s">
        <v>186</v>
      </c>
      <c r="D28" s="13">
        <v>0.57789999999999997</v>
      </c>
      <c r="E28" s="168">
        <v>0.61980000000000002</v>
      </c>
      <c r="F28" s="51">
        <v>0.5766</v>
      </c>
      <c r="G28" s="13">
        <v>0.58809999999999996</v>
      </c>
      <c r="H28" s="123">
        <f>+G28/F28</f>
        <v>1.0199445022545959</v>
      </c>
      <c r="I28" s="158">
        <v>0.5766</v>
      </c>
      <c r="J28" s="40">
        <v>0.5766</v>
      </c>
      <c r="K28" s="32">
        <v>0.5706</v>
      </c>
      <c r="L28" s="13">
        <v>0.5706</v>
      </c>
      <c r="M28" s="437">
        <f>+K28/I28</f>
        <v>0.98959417273673256</v>
      </c>
      <c r="N28" s="442">
        <f>+L28/$K28</f>
        <v>1</v>
      </c>
      <c r="O28" s="51">
        <v>0.57720000000000005</v>
      </c>
      <c r="P28" s="31">
        <v>0.57720000000000005</v>
      </c>
      <c r="Q28" s="40">
        <v>0.55569999999999997</v>
      </c>
      <c r="R28" s="60">
        <v>0.55569999999999997</v>
      </c>
      <c r="S28" s="30">
        <f>+Q28/O28</f>
        <v>0.96275121275121267</v>
      </c>
      <c r="T28" s="30">
        <f>+R28/$Q28</f>
        <v>1</v>
      </c>
      <c r="U28" s="123" t="s">
        <v>115</v>
      </c>
      <c r="V28" s="716">
        <v>0.57789999999999997</v>
      </c>
      <c r="W28" s="13">
        <v>0.57789999999999997</v>
      </c>
      <c r="X28" s="168">
        <f>+R28</f>
        <v>0.55569999999999997</v>
      </c>
      <c r="Y28" s="168">
        <f>+X28</f>
        <v>0.55569999999999997</v>
      </c>
      <c r="Z28" s="281">
        <f t="shared" si="16"/>
        <v>0.96158504931649069</v>
      </c>
      <c r="AA28" s="30">
        <f t="shared" si="16"/>
        <v>0.96158504931649069</v>
      </c>
      <c r="AB28" s="168">
        <f t="shared" ref="AB28:AB60" si="17">+AA28</f>
        <v>0.96158504931649069</v>
      </c>
      <c r="AC28" s="715" t="s">
        <v>375</v>
      </c>
    </row>
    <row r="29" spans="1:29" ht="30" x14ac:dyDescent="0.25">
      <c r="A29" s="4" t="s">
        <v>29</v>
      </c>
      <c r="B29" s="54" t="s">
        <v>180</v>
      </c>
      <c r="C29" s="57" t="s">
        <v>183</v>
      </c>
      <c r="D29" s="9">
        <v>0.45</v>
      </c>
      <c r="E29" s="168">
        <v>0.33300000000000002</v>
      </c>
      <c r="F29" s="51">
        <v>0.34899999999999998</v>
      </c>
      <c r="G29" s="12">
        <v>0.34</v>
      </c>
      <c r="H29" s="123">
        <f>+G29/F29</f>
        <v>0.97421203438395432</v>
      </c>
      <c r="I29" s="158">
        <v>0.36899999999999999</v>
      </c>
      <c r="J29" s="40">
        <v>0.36899999999999999</v>
      </c>
      <c r="K29" s="15">
        <v>0.41399999999999998</v>
      </c>
      <c r="L29" s="15">
        <v>0.41399999999999998</v>
      </c>
      <c r="M29" s="30">
        <f>+K29/I29</f>
        <v>1.121951219512195</v>
      </c>
      <c r="N29" s="30">
        <f>+L29/J29</f>
        <v>1.121951219512195</v>
      </c>
      <c r="O29" s="181">
        <v>0.42099999999999999</v>
      </c>
      <c r="P29" s="31">
        <v>0.42099999999999999</v>
      </c>
      <c r="Q29" s="44">
        <v>0.45400000000000001</v>
      </c>
      <c r="R29" s="44">
        <v>0.45400000000000001</v>
      </c>
      <c r="S29" s="281">
        <f>+Q29/O29</f>
        <v>1.0783847980997625</v>
      </c>
      <c r="T29" s="30">
        <f>+R29/P29</f>
        <v>1.0783847980997625</v>
      </c>
      <c r="U29" s="123" t="s">
        <v>115</v>
      </c>
      <c r="V29" s="716">
        <v>0.45</v>
      </c>
      <c r="W29" s="10">
        <f t="shared" ref="W29:W36" si="18">+D29</f>
        <v>0.45</v>
      </c>
      <c r="X29" s="171">
        <v>0</v>
      </c>
      <c r="Y29" s="171">
        <v>0.45400000000000001</v>
      </c>
      <c r="Z29" s="281">
        <f t="shared" si="16"/>
        <v>0</v>
      </c>
      <c r="AA29" s="30">
        <f t="shared" si="16"/>
        <v>1.0088888888888889</v>
      </c>
      <c r="AB29" s="168">
        <f t="shared" si="17"/>
        <v>1.0088888888888889</v>
      </c>
      <c r="AC29" s="715" t="s">
        <v>375</v>
      </c>
    </row>
    <row r="30" spans="1:29" ht="45" x14ac:dyDescent="0.25">
      <c r="A30" s="4" t="s">
        <v>30</v>
      </c>
      <c r="B30" s="54" t="s">
        <v>177</v>
      </c>
      <c r="C30" s="57" t="s">
        <v>183</v>
      </c>
      <c r="D30" s="9">
        <v>0.12</v>
      </c>
      <c r="E30" s="168">
        <v>0</v>
      </c>
      <c r="F30" s="51">
        <v>0.03</v>
      </c>
      <c r="G30" s="13">
        <v>2.9499999999999998E-2</v>
      </c>
      <c r="H30" s="123">
        <f>+G30/F30</f>
        <v>0.98333333333333328</v>
      </c>
      <c r="I30" s="158">
        <v>0.06</v>
      </c>
      <c r="J30" s="40">
        <v>0.06</v>
      </c>
      <c r="K30" s="13">
        <v>6.25E-2</v>
      </c>
      <c r="L30" s="291">
        <v>6.25E-2</v>
      </c>
      <c r="M30" s="30">
        <f>+K30/I30</f>
        <v>1.0416666666666667</v>
      </c>
      <c r="N30" s="30">
        <f>+L30/J30</f>
        <v>1.0416666666666667</v>
      </c>
      <c r="O30" s="181">
        <v>0.09</v>
      </c>
      <c r="P30" s="31">
        <v>0.09</v>
      </c>
      <c r="Q30" s="52">
        <v>0</v>
      </c>
      <c r="R30" s="44">
        <f>+Q30</f>
        <v>0</v>
      </c>
      <c r="S30" s="281">
        <f>+Q30/O30</f>
        <v>0</v>
      </c>
      <c r="T30" s="30">
        <f>+R30/P30</f>
        <v>0</v>
      </c>
      <c r="U30" s="123" t="s">
        <v>115</v>
      </c>
      <c r="V30" s="716">
        <v>0.12</v>
      </c>
      <c r="W30" s="10">
        <f t="shared" si="18"/>
        <v>0.12</v>
      </c>
      <c r="X30" s="168">
        <f>+Q30</f>
        <v>0</v>
      </c>
      <c r="Y30" s="168">
        <f>+X30</f>
        <v>0</v>
      </c>
      <c r="Z30" s="281">
        <f t="shared" si="16"/>
        <v>0</v>
      </c>
      <c r="AA30" s="281">
        <f t="shared" si="16"/>
        <v>0</v>
      </c>
      <c r="AB30" s="168">
        <f t="shared" si="17"/>
        <v>0</v>
      </c>
      <c r="AC30" s="715" t="s">
        <v>375</v>
      </c>
    </row>
    <row r="31" spans="1:29" ht="45" x14ac:dyDescent="0.25">
      <c r="A31" s="4" t="s">
        <v>31</v>
      </c>
      <c r="B31" s="54" t="s">
        <v>177</v>
      </c>
      <c r="C31" s="57" t="s">
        <v>183</v>
      </c>
      <c r="D31" s="9">
        <v>0.08</v>
      </c>
      <c r="E31" s="168">
        <v>2.2599999999999999E-2</v>
      </c>
      <c r="F31" s="51">
        <v>0.03</v>
      </c>
      <c r="G31" s="15">
        <v>3.2000000000000001E-2</v>
      </c>
      <c r="H31" s="123">
        <f>+G31/F31</f>
        <v>1.0666666666666667</v>
      </c>
      <c r="I31" s="158">
        <v>0.04</v>
      </c>
      <c r="J31" s="40">
        <v>0.04</v>
      </c>
      <c r="K31" s="15">
        <v>5.6000000000000001E-2</v>
      </c>
      <c r="L31" s="25">
        <v>5.6000000000000001E-2</v>
      </c>
      <c r="M31" s="30">
        <f>+K31/I31</f>
        <v>1.4</v>
      </c>
      <c r="N31" s="30">
        <f>+L31/J31</f>
        <v>1.4</v>
      </c>
      <c r="O31" s="181">
        <v>0.06</v>
      </c>
      <c r="P31" s="31">
        <v>0.06</v>
      </c>
      <c r="Q31" s="52">
        <v>4.7500000000000001E-2</v>
      </c>
      <c r="R31" s="44">
        <v>4.7500000000000001E-2</v>
      </c>
      <c r="S31" s="281">
        <f>+Q31/O31</f>
        <v>0.79166666666666674</v>
      </c>
      <c r="T31" s="30">
        <f>+R31/P31</f>
        <v>0.79166666666666674</v>
      </c>
      <c r="U31" s="123" t="s">
        <v>115</v>
      </c>
      <c r="V31" s="716">
        <v>0.08</v>
      </c>
      <c r="W31" s="9">
        <f t="shared" si="18"/>
        <v>0.08</v>
      </c>
      <c r="X31" s="171">
        <v>4.7500000000000001E-2</v>
      </c>
      <c r="Y31" s="171">
        <v>4.7500000000000001E-2</v>
      </c>
      <c r="Z31" s="30">
        <f t="shared" si="16"/>
        <v>0.59375</v>
      </c>
      <c r="AA31" s="30">
        <f t="shared" si="16"/>
        <v>0.59375</v>
      </c>
      <c r="AB31" s="168">
        <f t="shared" si="17"/>
        <v>0.59375</v>
      </c>
      <c r="AC31" s="715" t="s">
        <v>375</v>
      </c>
    </row>
    <row r="32" spans="1:29" ht="60" x14ac:dyDescent="0.25">
      <c r="A32" s="4" t="s">
        <v>32</v>
      </c>
      <c r="B32" s="54" t="s">
        <v>178</v>
      </c>
      <c r="C32" s="57" t="s">
        <v>183</v>
      </c>
      <c r="D32" s="12">
        <v>0.2</v>
      </c>
      <c r="E32" s="168">
        <v>0</v>
      </c>
      <c r="F32" s="51">
        <v>0.04</v>
      </c>
      <c r="G32" s="15">
        <v>4.6047929010066026E-2</v>
      </c>
      <c r="H32" s="123">
        <f>+(G32-E32)/(F32-E32)</f>
        <v>1.1511982252516506</v>
      </c>
      <c r="I32" s="158">
        <v>0.09</v>
      </c>
      <c r="J32" s="40">
        <v>0.09</v>
      </c>
      <c r="K32" s="13">
        <v>6.9900000000000004E-2</v>
      </c>
      <c r="L32" s="10">
        <v>6.9900000000000004E-2</v>
      </c>
      <c r="M32" s="30">
        <f>+(K32-E32)/(I32-E32)</f>
        <v>0.77666666666666673</v>
      </c>
      <c r="N32" s="30">
        <f>+(L32-E32)/(D32-E32)</f>
        <v>0.34949999999999998</v>
      </c>
      <c r="O32" s="181">
        <v>0.13</v>
      </c>
      <c r="P32" s="31">
        <v>0.13</v>
      </c>
      <c r="Q32" s="44">
        <v>0.10009999999999999</v>
      </c>
      <c r="R32" s="44">
        <v>0.10009999999999999</v>
      </c>
      <c r="S32" s="281">
        <f>+(Q32-E32)/(O32-E32)</f>
        <v>0.76999999999999991</v>
      </c>
      <c r="T32" s="281">
        <f>+(R32-E32)/(D32-E32)</f>
        <v>0.50049999999999994</v>
      </c>
      <c r="U32" s="123" t="s">
        <v>115</v>
      </c>
      <c r="V32" s="716">
        <v>0.2</v>
      </c>
      <c r="W32" s="12">
        <f t="shared" si="18"/>
        <v>0.2</v>
      </c>
      <c r="X32" s="167">
        <v>0.12559999999999999</v>
      </c>
      <c r="Y32" s="167">
        <v>0.1095</v>
      </c>
      <c r="Z32" s="281">
        <f>+(X32-E32)/(V32-E32)</f>
        <v>0.62799999999999989</v>
      </c>
      <c r="AA32" s="281">
        <f>+(Y32-E32)/(W32-E32)</f>
        <v>0.54749999999999999</v>
      </c>
      <c r="AB32" s="168">
        <f>+AA32</f>
        <v>0.54749999999999999</v>
      </c>
      <c r="AC32" s="715" t="s">
        <v>389</v>
      </c>
    </row>
    <row r="33" spans="1:29" ht="60" x14ac:dyDescent="0.25">
      <c r="A33" s="454" t="s">
        <v>33</v>
      </c>
      <c r="B33" s="54" t="s">
        <v>177</v>
      </c>
      <c r="C33" s="57" t="s">
        <v>183</v>
      </c>
      <c r="D33" s="10">
        <v>0.309</v>
      </c>
      <c r="E33" s="168">
        <v>0.27700000000000002</v>
      </c>
      <c r="F33" s="51">
        <v>0.28499999999999998</v>
      </c>
      <c r="G33" s="13">
        <v>0.26400000000000001</v>
      </c>
      <c r="H33" s="123">
        <f>+G33/F33</f>
        <v>0.92631578947368431</v>
      </c>
      <c r="I33" s="158">
        <v>0.29299999999999998</v>
      </c>
      <c r="J33" s="40">
        <v>0.29299999999999998</v>
      </c>
      <c r="K33" s="13">
        <v>0.35720000000000002</v>
      </c>
      <c r="L33" s="13">
        <v>0.35720000000000002</v>
      </c>
      <c r="M33" s="30">
        <f>+K33/I33</f>
        <v>1.2191126279863482</v>
      </c>
      <c r="N33" s="30">
        <f>+L33/J33</f>
        <v>1.2191126279863482</v>
      </c>
      <c r="O33" s="181">
        <v>0.30099999999999999</v>
      </c>
      <c r="P33" s="31">
        <v>0.30099999999999999</v>
      </c>
      <c r="Q33" s="52">
        <v>0.32129999999999997</v>
      </c>
      <c r="R33" s="52">
        <v>0.32129999999999997</v>
      </c>
      <c r="S33" s="281">
        <f>+Q33/O33</f>
        <v>1.0674418604651161</v>
      </c>
      <c r="T33" s="30">
        <f>+R33/P33</f>
        <v>1.0674418604651161</v>
      </c>
      <c r="U33" s="123" t="s">
        <v>115</v>
      </c>
      <c r="V33" s="716">
        <v>0.309</v>
      </c>
      <c r="W33" s="10">
        <f t="shared" si="18"/>
        <v>0.309</v>
      </c>
      <c r="X33" s="171">
        <v>0.32129999999999997</v>
      </c>
      <c r="Y33" s="171">
        <v>0.32129999999999997</v>
      </c>
      <c r="Z33" s="281">
        <f>+X33/V33</f>
        <v>1.0398058252427185</v>
      </c>
      <c r="AA33" s="30">
        <f>+Y33/W33</f>
        <v>1.0398058252427185</v>
      </c>
      <c r="AB33" s="168">
        <f t="shared" si="17"/>
        <v>1.0398058252427185</v>
      </c>
      <c r="AC33" s="715" t="s">
        <v>375</v>
      </c>
    </row>
    <row r="34" spans="1:29" ht="60" x14ac:dyDescent="0.25">
      <c r="A34" s="454" t="s">
        <v>34</v>
      </c>
      <c r="B34" s="54" t="s">
        <v>177</v>
      </c>
      <c r="C34" s="57" t="s">
        <v>183</v>
      </c>
      <c r="D34" s="10">
        <v>0.29899999999999999</v>
      </c>
      <c r="E34" s="168">
        <v>0.217</v>
      </c>
      <c r="F34" s="51">
        <v>0.23799999999999999</v>
      </c>
      <c r="G34" s="21">
        <v>0.2326</v>
      </c>
      <c r="H34" s="123">
        <f>+G34/F34</f>
        <v>0.97731092436974798</v>
      </c>
      <c r="I34" s="158">
        <v>0.25800000000000001</v>
      </c>
      <c r="J34" s="40">
        <v>0.25800000000000001</v>
      </c>
      <c r="K34" s="13">
        <v>0.29870000000000002</v>
      </c>
      <c r="L34" s="13">
        <v>0.29870000000000002</v>
      </c>
      <c r="M34" s="30">
        <f>+K34/I34</f>
        <v>1.1577519379844963</v>
      </c>
      <c r="N34" s="30">
        <f>+L34/J34</f>
        <v>1.1577519379844963</v>
      </c>
      <c r="O34" s="181">
        <v>0.27900000000000003</v>
      </c>
      <c r="P34" s="31">
        <v>0.27900000000000003</v>
      </c>
      <c r="Q34" s="52">
        <v>0.2084</v>
      </c>
      <c r="R34" s="52">
        <v>0.2084</v>
      </c>
      <c r="S34" s="281">
        <f>+Q34/O34</f>
        <v>0.74695340501792107</v>
      </c>
      <c r="T34" s="30">
        <f>+R34/P34</f>
        <v>0.74695340501792107</v>
      </c>
      <c r="U34" s="123" t="s">
        <v>115</v>
      </c>
      <c r="V34" s="716">
        <v>0.29899999999999999</v>
      </c>
      <c r="W34" s="10">
        <f t="shared" si="18"/>
        <v>0.29899999999999999</v>
      </c>
      <c r="X34" s="171">
        <v>0.2084</v>
      </c>
      <c r="Y34" s="171">
        <v>0.2084</v>
      </c>
      <c r="Z34" s="281">
        <f>+X34/V34</f>
        <v>0.69698996655518397</v>
      </c>
      <c r="AA34" s="30">
        <f>+Y34/W34</f>
        <v>0.69698996655518397</v>
      </c>
      <c r="AB34" s="168">
        <f t="shared" si="17"/>
        <v>0.69698996655518397</v>
      </c>
      <c r="AC34" s="715" t="s">
        <v>375</v>
      </c>
    </row>
    <row r="35" spans="1:29" x14ac:dyDescent="0.25">
      <c r="A35" s="4" t="s">
        <v>35</v>
      </c>
      <c r="B35" s="54" t="s">
        <v>177</v>
      </c>
      <c r="C35" s="57" t="s">
        <v>197</v>
      </c>
      <c r="D35" s="29">
        <v>20</v>
      </c>
      <c r="E35" s="200">
        <v>27</v>
      </c>
      <c r="F35" s="702">
        <v>26</v>
      </c>
      <c r="G35" s="17">
        <v>24</v>
      </c>
      <c r="H35" s="123">
        <f>(E35-G35)/(E35-F35)</f>
        <v>3</v>
      </c>
      <c r="I35" s="160">
        <v>24</v>
      </c>
      <c r="J35" s="701">
        <v>24</v>
      </c>
      <c r="K35" s="28">
        <v>26.11</v>
      </c>
      <c r="L35" s="20">
        <v>26.11</v>
      </c>
      <c r="M35" s="437">
        <f>+(E35-K35)/(E35-I35)</f>
        <v>0.29666666666666686</v>
      </c>
      <c r="N35" s="442">
        <f>+(E35-L35)/(E35-D35)</f>
        <v>0.12714285714285722</v>
      </c>
      <c r="O35" s="56">
        <v>22</v>
      </c>
      <c r="P35" s="27">
        <v>22</v>
      </c>
      <c r="Q35" s="53">
        <v>22.98</v>
      </c>
      <c r="R35" s="53">
        <v>22.98</v>
      </c>
      <c r="S35" s="30">
        <f>+(E35-Q35)/(E35-O35)</f>
        <v>0.80399999999999994</v>
      </c>
      <c r="T35" s="30">
        <f>(E35-R35)/(E35-P35)</f>
        <v>0.80399999999999994</v>
      </c>
      <c r="U35" s="123" t="s">
        <v>115</v>
      </c>
      <c r="V35" s="717">
        <v>20</v>
      </c>
      <c r="W35" s="29">
        <f t="shared" si="18"/>
        <v>20</v>
      </c>
      <c r="X35" s="720">
        <f>+Q35</f>
        <v>22.98</v>
      </c>
      <c r="Y35" s="720">
        <f>+X35</f>
        <v>22.98</v>
      </c>
      <c r="Z35" s="30">
        <f>(E35-X35)/(E35-V35)</f>
        <v>0.57428571428571418</v>
      </c>
      <c r="AA35" s="30">
        <f>+(E35-Y35)/(E35-W35)</f>
        <v>0.57428571428571418</v>
      </c>
      <c r="AB35" s="168">
        <f t="shared" si="17"/>
        <v>0.57428571428571418</v>
      </c>
      <c r="AC35" s="715" t="s">
        <v>375</v>
      </c>
    </row>
    <row r="36" spans="1:29" ht="45" x14ac:dyDescent="0.25">
      <c r="A36" s="4" t="s">
        <v>36</v>
      </c>
      <c r="B36" s="54" t="s">
        <v>177</v>
      </c>
      <c r="C36" s="57" t="s">
        <v>183</v>
      </c>
      <c r="D36" s="37">
        <v>0.75</v>
      </c>
      <c r="E36" s="168">
        <v>0.53100000000000003</v>
      </c>
      <c r="F36" s="703">
        <v>0.58599999999999997</v>
      </c>
      <c r="G36" s="38">
        <v>0.52769999999999995</v>
      </c>
      <c r="H36" s="123">
        <f>+G36/F36</f>
        <v>0.90051194539249146</v>
      </c>
      <c r="I36" s="704">
        <v>0.64100000000000001</v>
      </c>
      <c r="J36" s="40">
        <v>0.64100000000000001</v>
      </c>
      <c r="K36" s="32">
        <v>0.57650000000000001</v>
      </c>
      <c r="L36" s="39">
        <v>0.57650000000000001</v>
      </c>
      <c r="M36" s="30">
        <f>+K36/I36</f>
        <v>0.89937597503900157</v>
      </c>
      <c r="N36" s="30">
        <f>+L36/J36</f>
        <v>0.89937597503900157</v>
      </c>
      <c r="O36" s="158">
        <v>0.69599999999999995</v>
      </c>
      <c r="P36" s="40">
        <v>0.69599999999999995</v>
      </c>
      <c r="Q36" s="40">
        <v>0.57699999999999996</v>
      </c>
      <c r="R36" s="60">
        <v>0.57699999999999996</v>
      </c>
      <c r="S36" s="281">
        <f>+Q36/O36</f>
        <v>0.82902298850574707</v>
      </c>
      <c r="T36" s="30">
        <f>+R36/P36</f>
        <v>0.82902298850574707</v>
      </c>
      <c r="U36" s="123" t="s">
        <v>115</v>
      </c>
      <c r="V36" s="716">
        <v>0.75</v>
      </c>
      <c r="W36" s="37">
        <f t="shared" si="18"/>
        <v>0.75</v>
      </c>
      <c r="X36" s="721">
        <f>+Q36</f>
        <v>0.57699999999999996</v>
      </c>
      <c r="Y36" s="721">
        <f>+X36</f>
        <v>0.57699999999999996</v>
      </c>
      <c r="Z36" s="281">
        <f>+X36/V36</f>
        <v>0.76933333333333331</v>
      </c>
      <c r="AA36" s="281">
        <f>+Y36/W36</f>
        <v>0.76933333333333331</v>
      </c>
      <c r="AB36" s="168">
        <f t="shared" si="17"/>
        <v>0.76933333333333331</v>
      </c>
      <c r="AC36" s="715" t="s">
        <v>375</v>
      </c>
    </row>
    <row r="37" spans="1:29" ht="75" x14ac:dyDescent="0.25">
      <c r="A37" s="4" t="s">
        <v>157</v>
      </c>
      <c r="B37" s="54" t="s">
        <v>177</v>
      </c>
      <c r="C37" s="57" t="s">
        <v>183</v>
      </c>
      <c r="D37" s="10" t="s">
        <v>264</v>
      </c>
      <c r="E37" s="168">
        <v>0.29399999999999998</v>
      </c>
      <c r="F37" s="742" t="s">
        <v>262</v>
      </c>
      <c r="G37" s="13">
        <v>0.317</v>
      </c>
      <c r="H37" s="123">
        <f>+(31.7%-29.4%)/(31.2%-29.4%)</f>
        <v>1.2777777777777777</v>
      </c>
      <c r="I37" s="158" t="s">
        <v>268</v>
      </c>
      <c r="J37" s="44" t="s">
        <v>421</v>
      </c>
      <c r="K37" s="15">
        <v>0.40799999999999997</v>
      </c>
      <c r="L37" s="22">
        <v>0.40799999999999997</v>
      </c>
      <c r="M37" s="30">
        <f>+(K37-E37)/(33%-E37)</f>
        <v>3.1666666666666634</v>
      </c>
      <c r="N37" s="30">
        <f>+(K37-E37)/(38%-E37)</f>
        <v>1.3255813953488367</v>
      </c>
      <c r="O37" s="158" t="s">
        <v>267</v>
      </c>
      <c r="P37" s="28" t="s">
        <v>269</v>
      </c>
      <c r="Q37" s="44" t="s">
        <v>414</v>
      </c>
      <c r="R37" s="44" t="s">
        <v>414</v>
      </c>
      <c r="S37" s="281">
        <f>+(43.48%-E37)/(36.6%-E37)</f>
        <v>1.955555555555555</v>
      </c>
      <c r="T37" s="281">
        <f>+(43.48%-E37)/(38%-E37)</f>
        <v>1.6372093023255807</v>
      </c>
      <c r="U37" s="123" t="s">
        <v>115</v>
      </c>
      <c r="V37" s="722" t="s">
        <v>265</v>
      </c>
      <c r="W37" s="10" t="s">
        <v>266</v>
      </c>
      <c r="X37" s="171">
        <v>0.43480000000000002</v>
      </c>
      <c r="Y37" s="171">
        <f>+X37</f>
        <v>0.43480000000000002</v>
      </c>
      <c r="Z37" s="281">
        <f>+(X37-E37)/(38%-E37)</f>
        <v>1.6372093023255814</v>
      </c>
      <c r="AA37" s="281">
        <f>+(Y37-E37)/(38%-E37)</f>
        <v>1.6372093023255814</v>
      </c>
      <c r="AB37" s="168">
        <f t="shared" si="17"/>
        <v>1.6372093023255814</v>
      </c>
      <c r="AC37" s="715" t="s">
        <v>375</v>
      </c>
    </row>
    <row r="38" spans="1:29" ht="45" x14ac:dyDescent="0.25">
      <c r="A38" s="4" t="s">
        <v>38</v>
      </c>
      <c r="B38" s="54" t="s">
        <v>177</v>
      </c>
      <c r="C38" s="57" t="s">
        <v>183</v>
      </c>
      <c r="D38" s="9">
        <v>0.22</v>
      </c>
      <c r="E38" s="168">
        <v>0</v>
      </c>
      <c r="F38" s="51">
        <v>0.05</v>
      </c>
      <c r="G38" s="13">
        <v>7.0000000000000007E-2</v>
      </c>
      <c r="H38" s="123">
        <f>+(G38-E38)/(F38-E38)</f>
        <v>1.4000000000000001</v>
      </c>
      <c r="I38" s="158">
        <v>0.09</v>
      </c>
      <c r="J38" s="40">
        <v>0.09</v>
      </c>
      <c r="K38" s="15">
        <v>0.105</v>
      </c>
      <c r="L38" s="22">
        <v>0.105</v>
      </c>
      <c r="M38" s="30">
        <f>+(K38-E38)/(I38-E38)</f>
        <v>1.1666666666666667</v>
      </c>
      <c r="N38" s="30">
        <f>+(L38-E38)/(D38-E38)</f>
        <v>0.47727272727272724</v>
      </c>
      <c r="O38" s="181">
        <v>0.15</v>
      </c>
      <c r="P38" s="31">
        <v>0.15</v>
      </c>
      <c r="Q38" s="40">
        <v>0.14000000000000001</v>
      </c>
      <c r="R38" s="40">
        <v>0.14000000000000001</v>
      </c>
      <c r="S38" s="281">
        <f>+(Q38-E38)/(O38-E38)</f>
        <v>0.93333333333333346</v>
      </c>
      <c r="T38" s="30">
        <f>+(R38-E38)/(P38-E38)</f>
        <v>0.93333333333333346</v>
      </c>
      <c r="U38" s="123" t="s">
        <v>115</v>
      </c>
      <c r="V38" s="716">
        <v>0.22</v>
      </c>
      <c r="W38" s="9">
        <f>+D38</f>
        <v>0.22</v>
      </c>
      <c r="X38" s="174">
        <f>+Q38</f>
        <v>0.14000000000000001</v>
      </c>
      <c r="Y38" s="174">
        <f>+X38</f>
        <v>0.14000000000000001</v>
      </c>
      <c r="Z38" s="281">
        <f>+(X38-E38)/(V38-E38)</f>
        <v>0.63636363636363646</v>
      </c>
      <c r="AA38" s="30">
        <f>+(X38-E38)/(W38-E38)</f>
        <v>0.63636363636363646</v>
      </c>
      <c r="AB38" s="168">
        <f t="shared" si="17"/>
        <v>0.63636363636363646</v>
      </c>
      <c r="AC38" s="715" t="s">
        <v>375</v>
      </c>
    </row>
    <row r="39" spans="1:29" x14ac:dyDescent="0.25">
      <c r="A39" s="4" t="s">
        <v>39</v>
      </c>
      <c r="B39" s="54" t="s">
        <v>177</v>
      </c>
      <c r="C39" s="57" t="s">
        <v>198</v>
      </c>
      <c r="D39" s="29">
        <v>8000</v>
      </c>
      <c r="E39" s="200">
        <v>5703</v>
      </c>
      <c r="F39" s="702">
        <v>1000</v>
      </c>
      <c r="G39" s="27">
        <v>1263</v>
      </c>
      <c r="H39" s="123">
        <f>+G39/F39</f>
        <v>1.2629999999999999</v>
      </c>
      <c r="I39" s="160">
        <v>2335</v>
      </c>
      <c r="J39" s="55">
        <f>+F39+I39</f>
        <v>3335</v>
      </c>
      <c r="K39" s="29">
        <v>3713</v>
      </c>
      <c r="L39" s="27">
        <f>+K39+G39</f>
        <v>4976</v>
      </c>
      <c r="M39" s="30">
        <f>+K39/I39</f>
        <v>1.5901498929336189</v>
      </c>
      <c r="N39" s="123">
        <f>+L39/$K39</f>
        <v>1.3401562079181255</v>
      </c>
      <c r="O39" s="56">
        <v>2367</v>
      </c>
      <c r="P39" s="27">
        <f>+J39+O39</f>
        <v>5702</v>
      </c>
      <c r="Q39" s="66">
        <v>2365</v>
      </c>
      <c r="R39" s="66">
        <f>+L39+Q39</f>
        <v>7341</v>
      </c>
      <c r="S39" s="30">
        <f>+Q39/O39</f>
        <v>0.99915504858470638</v>
      </c>
      <c r="T39" s="30">
        <f>+R39/$Q39</f>
        <v>3.104016913319239</v>
      </c>
      <c r="U39" s="123" t="s">
        <v>115</v>
      </c>
      <c r="V39" s="717">
        <v>2298</v>
      </c>
      <c r="W39" s="29">
        <f>+P39+V39</f>
        <v>8000</v>
      </c>
      <c r="X39" s="165">
        <v>0</v>
      </c>
      <c r="Y39" s="165">
        <f>+R39+X39</f>
        <v>7341</v>
      </c>
      <c r="Z39" s="30">
        <f>+X39/V39</f>
        <v>0</v>
      </c>
      <c r="AA39" s="30">
        <f>+Y39/W39</f>
        <v>0.91762500000000002</v>
      </c>
      <c r="AB39" s="168">
        <f t="shared" si="17"/>
        <v>0.91762500000000002</v>
      </c>
      <c r="AC39" s="715" t="s">
        <v>375</v>
      </c>
    </row>
    <row r="40" spans="1:29" ht="45" x14ac:dyDescent="0.25">
      <c r="A40" s="4" t="s">
        <v>40</v>
      </c>
      <c r="B40" s="54" t="s">
        <v>177</v>
      </c>
      <c r="C40" s="57" t="s">
        <v>183</v>
      </c>
      <c r="D40" s="10">
        <v>0.12</v>
      </c>
      <c r="E40" s="168">
        <v>9.4E-2</v>
      </c>
      <c r="F40" s="51">
        <v>0.10050000000000001</v>
      </c>
      <c r="G40" s="13">
        <v>9.0999999999999998E-2</v>
      </c>
      <c r="H40" s="123">
        <f>+G40/F40</f>
        <v>0.90547263681592027</v>
      </c>
      <c r="I40" s="158">
        <v>0.1069</v>
      </c>
      <c r="J40" s="40">
        <v>0.1069</v>
      </c>
      <c r="K40" s="13">
        <v>0.10050000000000001</v>
      </c>
      <c r="L40" s="13">
        <v>0.10050000000000001</v>
      </c>
      <c r="M40" s="437">
        <f>+K40/I40</f>
        <v>0.94013096351730596</v>
      </c>
      <c r="N40" s="442">
        <f>+L40/$K40</f>
        <v>1</v>
      </c>
      <c r="O40" s="125">
        <v>0.1132</v>
      </c>
      <c r="P40" s="31">
        <v>0.1132</v>
      </c>
      <c r="Q40" s="44">
        <f>+K40</f>
        <v>0.10050000000000001</v>
      </c>
      <c r="R40" s="44">
        <f>+Q40</f>
        <v>0.10050000000000001</v>
      </c>
      <c r="S40" s="30">
        <f>+Q40/O40</f>
        <v>0.88780918727915203</v>
      </c>
      <c r="T40" s="30">
        <f>+R40/$Q40</f>
        <v>1</v>
      </c>
      <c r="U40" s="123" t="s">
        <v>311</v>
      </c>
      <c r="V40" s="716">
        <v>0.12</v>
      </c>
      <c r="W40" s="10">
        <f t="shared" ref="W40:W51" si="19">+D40</f>
        <v>0.12</v>
      </c>
      <c r="X40" s="168">
        <f>+R40</f>
        <v>0.10050000000000001</v>
      </c>
      <c r="Y40" s="168">
        <f>+X40</f>
        <v>0.10050000000000001</v>
      </c>
      <c r="Z40" s="281">
        <f>+X40/V40</f>
        <v>0.83750000000000013</v>
      </c>
      <c r="AA40" s="30">
        <f>+Y40/W40</f>
        <v>0.83750000000000013</v>
      </c>
      <c r="AB40" s="168">
        <f t="shared" si="17"/>
        <v>0.83750000000000013</v>
      </c>
      <c r="AC40" s="715" t="s">
        <v>376</v>
      </c>
    </row>
    <row r="41" spans="1:29" x14ac:dyDescent="0.25">
      <c r="A41" s="4" t="s">
        <v>41</v>
      </c>
      <c r="B41" s="57" t="s">
        <v>199</v>
      </c>
      <c r="C41" s="57" t="s">
        <v>200</v>
      </c>
      <c r="D41" s="29">
        <v>4350</v>
      </c>
      <c r="E41" s="200">
        <v>2889</v>
      </c>
      <c r="F41" s="702">
        <v>3400</v>
      </c>
      <c r="G41" s="16">
        <v>3842</v>
      </c>
      <c r="H41" s="123">
        <f>+(G41-E41)/(F41-E41)</f>
        <v>1.8649706457925637</v>
      </c>
      <c r="I41" s="160">
        <v>3700</v>
      </c>
      <c r="J41" s="705">
        <v>3700</v>
      </c>
      <c r="K41" s="29">
        <v>4188</v>
      </c>
      <c r="L41" s="29">
        <v>4188</v>
      </c>
      <c r="M41" s="30">
        <f>+(K41-E41)/(I41-E41)</f>
        <v>1.6017262638717633</v>
      </c>
      <c r="N41" s="30">
        <f>+(L41-E41)/(D41-E41)</f>
        <v>0.88911704312114992</v>
      </c>
      <c r="O41" s="161">
        <v>4000</v>
      </c>
      <c r="P41" s="27">
        <v>4000</v>
      </c>
      <c r="Q41" s="107">
        <v>4059</v>
      </c>
      <c r="R41" s="107">
        <v>4059</v>
      </c>
      <c r="S41" s="281">
        <f>+(Q41-E41)/(O41-E41)</f>
        <v>1.0531053105310531</v>
      </c>
      <c r="T41" s="30">
        <f>+R41/$Q41</f>
        <v>1</v>
      </c>
      <c r="U41" s="123" t="s">
        <v>115</v>
      </c>
      <c r="V41" s="717">
        <v>4350</v>
      </c>
      <c r="W41" s="29">
        <f t="shared" si="19"/>
        <v>4350</v>
      </c>
      <c r="X41" s="165">
        <v>4138</v>
      </c>
      <c r="Y41" s="165">
        <f>+X41</f>
        <v>4138</v>
      </c>
      <c r="Z41" s="30">
        <f>+(X41-E41)/(V41-E41)</f>
        <v>0.85489390828199863</v>
      </c>
      <c r="AA41" s="30">
        <f>+(Y41-E41)/(D41-E41)</f>
        <v>0.85489390828199863</v>
      </c>
      <c r="AB41" s="168">
        <f t="shared" si="17"/>
        <v>0.85489390828199863</v>
      </c>
      <c r="AC41" s="715" t="s">
        <v>419</v>
      </c>
    </row>
    <row r="42" spans="1:29" x14ac:dyDescent="0.25">
      <c r="A42" s="4" t="s">
        <v>42</v>
      </c>
      <c r="B42" s="54" t="s">
        <v>177</v>
      </c>
      <c r="C42" s="57" t="s">
        <v>201</v>
      </c>
      <c r="D42" s="10">
        <v>5.6090000000000001E-2</v>
      </c>
      <c r="E42" s="168">
        <v>5.0700000000000002E-2</v>
      </c>
      <c r="F42" s="51">
        <v>5.0709999999999998E-2</v>
      </c>
      <c r="G42" s="32">
        <v>5.4199999999999998E-2</v>
      </c>
      <c r="H42" s="123">
        <f>+(G42-E42)/(F42-E42)</f>
        <v>350.00000000013529</v>
      </c>
      <c r="I42" s="158">
        <v>5.2449999999999997E-2</v>
      </c>
      <c r="J42" s="40">
        <v>5.2449999999999997E-2</v>
      </c>
      <c r="K42" s="13">
        <v>5.6500000000000002E-2</v>
      </c>
      <c r="L42" s="13">
        <v>5.6500000000000002E-2</v>
      </c>
      <c r="M42" s="30">
        <f>+(K42-E42)/(I42-E42)</f>
        <v>3.3142857142857243</v>
      </c>
      <c r="N42" s="30">
        <f>+(L42-E42)/(D42-E42)</f>
        <v>1.0760667903525047</v>
      </c>
      <c r="O42" s="181">
        <v>5.3999999999999999E-2</v>
      </c>
      <c r="P42" s="31">
        <v>5.3999999999999999E-2</v>
      </c>
      <c r="Q42" s="44">
        <v>5.67E-2</v>
      </c>
      <c r="R42" s="44">
        <v>5.67E-2</v>
      </c>
      <c r="S42" s="281">
        <f>+(Q42-E42)/(O42-E42)</f>
        <v>1.8181818181818192</v>
      </c>
      <c r="T42" s="281">
        <f>+(R42-E42)/(D42-E42)</f>
        <v>1.1131725417439702</v>
      </c>
      <c r="U42" s="123" t="s">
        <v>115</v>
      </c>
      <c r="V42" s="716">
        <v>5.6099999999999997E-2</v>
      </c>
      <c r="W42" s="10">
        <f t="shared" si="19"/>
        <v>5.6090000000000001E-2</v>
      </c>
      <c r="X42" s="171">
        <f>+Q42</f>
        <v>5.67E-2</v>
      </c>
      <c r="Y42" s="171">
        <f>+X42</f>
        <v>5.67E-2</v>
      </c>
      <c r="Z42" s="281">
        <f>+(X42-E42)/(V42-E42)</f>
        <v>1.1111111111111118</v>
      </c>
      <c r="AA42" s="281">
        <f>+(Y42-E42)/(W42-E42)</f>
        <v>1.1131725417439702</v>
      </c>
      <c r="AB42" s="168">
        <f t="shared" si="17"/>
        <v>1.1131725417439702</v>
      </c>
      <c r="AC42" s="715" t="s">
        <v>375</v>
      </c>
    </row>
    <row r="43" spans="1:29" ht="30" x14ac:dyDescent="0.25">
      <c r="A43" s="4" t="s">
        <v>43</v>
      </c>
      <c r="B43" s="54" t="s">
        <v>177</v>
      </c>
      <c r="C43" s="57" t="s">
        <v>202</v>
      </c>
      <c r="D43" s="29">
        <v>2720</v>
      </c>
      <c r="E43" s="200">
        <v>2012</v>
      </c>
      <c r="F43" s="702">
        <v>2109</v>
      </c>
      <c r="G43" s="29">
        <v>2027</v>
      </c>
      <c r="H43" s="123">
        <f>+(G43-E43)/(F43-E43)</f>
        <v>0.15463917525773196</v>
      </c>
      <c r="I43" s="160">
        <v>2230</v>
      </c>
      <c r="J43" s="705">
        <v>2230</v>
      </c>
      <c r="K43" s="29">
        <v>2477</v>
      </c>
      <c r="L43" s="27">
        <v>2477</v>
      </c>
      <c r="M43" s="30">
        <f>+(K43-E43)/(I43-E43)</f>
        <v>2.1330275229357798</v>
      </c>
      <c r="N43" s="30">
        <f>+(L43-E43)/(D43-E43)</f>
        <v>0.65677966101694918</v>
      </c>
      <c r="O43" s="161">
        <v>2545</v>
      </c>
      <c r="P43" s="27">
        <v>2545</v>
      </c>
      <c r="Q43" s="55">
        <v>2808</v>
      </c>
      <c r="R43" s="55">
        <v>2808</v>
      </c>
      <c r="S43" s="281">
        <f>+(Q43-E43)/(O43-E43)</f>
        <v>1.4934333958724202</v>
      </c>
      <c r="T43" s="281">
        <f>+(R43-E43)/(D43-E43)</f>
        <v>1.1242937853107344</v>
      </c>
      <c r="U43" s="123" t="s">
        <v>115</v>
      </c>
      <c r="V43" s="717">
        <v>2720</v>
      </c>
      <c r="W43" s="29">
        <f t="shared" si="19"/>
        <v>2720</v>
      </c>
      <c r="X43" s="165">
        <f>+Q43</f>
        <v>2808</v>
      </c>
      <c r="Y43" s="165">
        <v>2808</v>
      </c>
      <c r="Z43" s="281">
        <f>+(X43-E43)/(V43-E43)</f>
        <v>1.1242937853107344</v>
      </c>
      <c r="AA43" s="281">
        <f>+(Y43-E43)/(W43-E43)</f>
        <v>1.1242937853107344</v>
      </c>
      <c r="AB43" s="168">
        <f t="shared" si="17"/>
        <v>1.1242937853107344</v>
      </c>
      <c r="AC43" s="715" t="s">
        <v>375</v>
      </c>
    </row>
    <row r="44" spans="1:29" ht="60" x14ac:dyDescent="0.25">
      <c r="A44" s="4" t="s">
        <v>44</v>
      </c>
      <c r="B44" s="54" t="s">
        <v>178</v>
      </c>
      <c r="C44" s="57" t="s">
        <v>193</v>
      </c>
      <c r="D44" s="29">
        <v>1500000</v>
      </c>
      <c r="E44" s="200">
        <v>0</v>
      </c>
      <c r="F44" s="702">
        <v>305516</v>
      </c>
      <c r="G44" s="29">
        <v>316895</v>
      </c>
      <c r="H44" s="123">
        <f>+(G44-E44)/(F44-E44)</f>
        <v>1.0372451851948834</v>
      </c>
      <c r="I44" s="160">
        <v>687411</v>
      </c>
      <c r="J44" s="55">
        <v>687411</v>
      </c>
      <c r="K44" s="29">
        <v>512169</v>
      </c>
      <c r="L44" s="439">
        <v>512169</v>
      </c>
      <c r="M44" s="30">
        <f>+(K44-E44)/(I44-E44)</f>
        <v>0.745069543548183</v>
      </c>
      <c r="N44" s="30">
        <f>+(L44-E44)/(D44-E44)</f>
        <v>0.34144600000000003</v>
      </c>
      <c r="O44" s="161">
        <v>1000000</v>
      </c>
      <c r="P44" s="27">
        <v>1000000</v>
      </c>
      <c r="Q44" s="94">
        <v>730411</v>
      </c>
      <c r="R44" s="374">
        <v>730411</v>
      </c>
      <c r="S44" s="281">
        <f>+(Q44-E44)/(O44-E44)</f>
        <v>0.73041100000000003</v>
      </c>
      <c r="T44" s="281">
        <f>+(R44-E44)/(D44-E44)</f>
        <v>0.48694066666666669</v>
      </c>
      <c r="U44" s="123" t="s">
        <v>115</v>
      </c>
      <c r="V44" s="717">
        <v>1500000</v>
      </c>
      <c r="W44" s="29">
        <f t="shared" si="19"/>
        <v>1500000</v>
      </c>
      <c r="X44" s="165">
        <v>934203</v>
      </c>
      <c r="Y44" s="165">
        <v>788973</v>
      </c>
      <c r="Z44" s="281">
        <f>+(X44-E44)/(V44-E44)</f>
        <v>0.62280199999999997</v>
      </c>
      <c r="AA44" s="281">
        <f>+(Y44-E44)/(W44-E44)</f>
        <v>0.52598199999999995</v>
      </c>
      <c r="AB44" s="168">
        <f>+AA44</f>
        <v>0.52598199999999995</v>
      </c>
      <c r="AC44" s="715" t="s">
        <v>389</v>
      </c>
    </row>
    <row r="45" spans="1:29" x14ac:dyDescent="0.25">
      <c r="A45" s="4" t="s">
        <v>45</v>
      </c>
      <c r="B45" s="54" t="s">
        <v>177</v>
      </c>
      <c r="C45" s="57" t="s">
        <v>186</v>
      </c>
      <c r="D45" s="32">
        <v>0.2</v>
      </c>
      <c r="E45" s="168">
        <v>0.14899999999999999</v>
      </c>
      <c r="F45" s="51">
        <v>0.16</v>
      </c>
      <c r="G45" s="32">
        <v>0.157</v>
      </c>
      <c r="H45" s="123">
        <f>+(G45-E45)/(F45-E45)</f>
        <v>0.72727272727272729</v>
      </c>
      <c r="I45" s="181">
        <v>0.17299999999999999</v>
      </c>
      <c r="J45" s="40">
        <v>0.17299999999999999</v>
      </c>
      <c r="K45" s="32">
        <v>0.16900000000000001</v>
      </c>
      <c r="L45" s="32">
        <v>0.16900000000000001</v>
      </c>
      <c r="M45" s="30">
        <f>+(K45-E45)/(I45-E45)</f>
        <v>0.83333333333333426</v>
      </c>
      <c r="N45" s="30">
        <f>+(L45-E45)/(D45-E45)</f>
        <v>0.39215686274509826</v>
      </c>
      <c r="O45" s="181">
        <v>0.187</v>
      </c>
      <c r="P45" s="31">
        <v>0.187</v>
      </c>
      <c r="Q45" s="40">
        <v>0.191</v>
      </c>
      <c r="R45" s="40">
        <v>0.191</v>
      </c>
      <c r="S45" s="281">
        <f>+(Q45-E45)/(O45-E45)</f>
        <v>1.1052631578947369</v>
      </c>
      <c r="T45" s="281">
        <f>+(R45-E45)/(D45-E45)</f>
        <v>0.82352941176470573</v>
      </c>
      <c r="U45" s="123" t="s">
        <v>115</v>
      </c>
      <c r="V45" s="723">
        <v>0.2</v>
      </c>
      <c r="W45" s="32">
        <f t="shared" si="19"/>
        <v>0.2</v>
      </c>
      <c r="X45" s="168">
        <f>+Q45</f>
        <v>0.191</v>
      </c>
      <c r="Y45" s="168">
        <f>+X45</f>
        <v>0.191</v>
      </c>
      <c r="Z45" s="281">
        <f>+(X45-E45)/(V45-E45)</f>
        <v>0.82352941176470573</v>
      </c>
      <c r="AA45" s="281">
        <f>+(Y45-E45)/(W45-E45)</f>
        <v>0.82352941176470573</v>
      </c>
      <c r="AB45" s="168">
        <f t="shared" si="17"/>
        <v>0.82352941176470573</v>
      </c>
      <c r="AC45" s="715" t="s">
        <v>375</v>
      </c>
    </row>
    <row r="46" spans="1:29" x14ac:dyDescent="0.25">
      <c r="A46" s="4" t="s">
        <v>46</v>
      </c>
      <c r="B46" s="54" t="s">
        <v>203</v>
      </c>
      <c r="C46" s="57" t="s">
        <v>183</v>
      </c>
      <c r="D46" s="32">
        <v>0.9</v>
      </c>
      <c r="E46" s="168">
        <v>0.68</v>
      </c>
      <c r="F46" s="51">
        <v>0.7</v>
      </c>
      <c r="G46" s="32">
        <v>0.74099999999999999</v>
      </c>
      <c r="H46" s="249">
        <f>+G46/F46</f>
        <v>1.0585714285714287</v>
      </c>
      <c r="I46" s="181">
        <v>0.76</v>
      </c>
      <c r="J46" s="40">
        <v>0.76</v>
      </c>
      <c r="K46" s="32">
        <v>0.78300000000000003</v>
      </c>
      <c r="L46" s="32">
        <v>0.78300000000000003</v>
      </c>
      <c r="M46" s="30">
        <f>+K46/I46</f>
        <v>1.0302631578947368</v>
      </c>
      <c r="N46" s="30">
        <f>+L46/J46</f>
        <v>1.0302631578947368</v>
      </c>
      <c r="O46" s="181">
        <v>0.83</v>
      </c>
      <c r="P46" s="31">
        <v>0.83</v>
      </c>
      <c r="Q46" s="44">
        <v>0.62629999999999997</v>
      </c>
      <c r="R46" s="44">
        <v>0.62629999999999997</v>
      </c>
      <c r="S46" s="281">
        <f>+Q46/O46</f>
        <v>0.75457831325301206</v>
      </c>
      <c r="T46" s="30">
        <f>+R46/P46</f>
        <v>0.75457831325301206</v>
      </c>
      <c r="U46" s="123" t="s">
        <v>115</v>
      </c>
      <c r="V46" s="724">
        <v>0.9</v>
      </c>
      <c r="W46" s="32">
        <f t="shared" si="19"/>
        <v>0.9</v>
      </c>
      <c r="X46" s="725">
        <v>0.53039999999999998</v>
      </c>
      <c r="Y46" s="725">
        <f>+R46</f>
        <v>0.62629999999999997</v>
      </c>
      <c r="Z46" s="281">
        <f>+X46/V46</f>
        <v>0.58933333333333326</v>
      </c>
      <c r="AA46" s="30">
        <f>+Y46/W46</f>
        <v>0.69588888888888889</v>
      </c>
      <c r="AB46" s="168">
        <f t="shared" si="17"/>
        <v>0.69588888888888889</v>
      </c>
      <c r="AC46" s="722" t="s">
        <v>418</v>
      </c>
    </row>
    <row r="47" spans="1:29" ht="45" x14ac:dyDescent="0.25">
      <c r="A47" s="4" t="s">
        <v>47</v>
      </c>
      <c r="B47" s="54" t="s">
        <v>180</v>
      </c>
      <c r="C47" s="57" t="s">
        <v>193</v>
      </c>
      <c r="D47" s="29">
        <v>2000</v>
      </c>
      <c r="E47" s="200">
        <v>117</v>
      </c>
      <c r="F47" s="702">
        <v>250</v>
      </c>
      <c r="G47" s="16">
        <v>246</v>
      </c>
      <c r="H47" s="123">
        <f>+(G47-E47)/(F47-E47)</f>
        <v>0.96992481203007519</v>
      </c>
      <c r="I47" s="161">
        <v>500</v>
      </c>
      <c r="J47" s="42">
        <v>500</v>
      </c>
      <c r="K47" s="29">
        <v>441</v>
      </c>
      <c r="L47" s="16">
        <v>441</v>
      </c>
      <c r="M47" s="30">
        <f>+(K47-E47)/(I47-E47)</f>
        <v>0.84595300261096606</v>
      </c>
      <c r="N47" s="30">
        <f>+(L47-E47)/(D47-E47)</f>
        <v>0.17206585236325014</v>
      </c>
      <c r="O47" s="161">
        <v>1000</v>
      </c>
      <c r="P47" s="27">
        <v>1000</v>
      </c>
      <c r="Q47" s="726">
        <v>621</v>
      </c>
      <c r="R47" s="726">
        <v>621</v>
      </c>
      <c r="S47" s="281">
        <f>+(Q47-E47)/(O47-E47)</f>
        <v>0.57078142695356737</v>
      </c>
      <c r="T47" s="281">
        <f>+(R47-E47)/(D47-E47)</f>
        <v>0.26765799256505574</v>
      </c>
      <c r="U47" s="123" t="s">
        <v>120</v>
      </c>
      <c r="V47" s="717">
        <v>2000</v>
      </c>
      <c r="W47" s="29">
        <f t="shared" si="19"/>
        <v>2000</v>
      </c>
      <c r="X47" s="165">
        <v>814</v>
      </c>
      <c r="Y47" s="165">
        <f>+X47</f>
        <v>814</v>
      </c>
      <c r="Z47" s="281">
        <f>+(X47-E47)/(V47-E47)</f>
        <v>0.37015400955921401</v>
      </c>
      <c r="AA47" s="281">
        <f>+(Y47-E47)/(W47-E47)</f>
        <v>0.37015400955921401</v>
      </c>
      <c r="AB47" s="168">
        <f t="shared" si="17"/>
        <v>0.37015400955921401</v>
      </c>
      <c r="AC47" s="727" t="s">
        <v>418</v>
      </c>
    </row>
    <row r="48" spans="1:29" ht="30" x14ac:dyDescent="0.25">
      <c r="A48" s="4" t="s">
        <v>48</v>
      </c>
      <c r="B48" s="54" t="s">
        <v>178</v>
      </c>
      <c r="C48" s="57" t="s">
        <v>183</v>
      </c>
      <c r="D48" s="13">
        <v>0.9</v>
      </c>
      <c r="E48" s="168">
        <v>0.16500000000000001</v>
      </c>
      <c r="F48" s="61">
        <v>0.25</v>
      </c>
      <c r="G48" s="13">
        <v>0.216</v>
      </c>
      <c r="H48" s="123">
        <f>+(G48-E48)/(F48-E48)</f>
        <v>0.6</v>
      </c>
      <c r="I48" s="159">
        <v>0.4</v>
      </c>
      <c r="J48" s="38">
        <v>0.4</v>
      </c>
      <c r="K48" s="32">
        <v>0.26100000000000001</v>
      </c>
      <c r="L48" s="13">
        <v>0.26100000000000001</v>
      </c>
      <c r="M48" s="30">
        <f>+(K48-E48)/(I48-E48)</f>
        <v>0.40851063829787232</v>
      </c>
      <c r="N48" s="30">
        <f>+(L48-E48)/(D48-E48)</f>
        <v>0.1306122448979592</v>
      </c>
      <c r="O48" s="159">
        <v>0.6</v>
      </c>
      <c r="P48" s="13">
        <v>0.6</v>
      </c>
      <c r="Q48" s="13">
        <v>0.53129999999999999</v>
      </c>
      <c r="R48" s="13">
        <v>0.53129999999999999</v>
      </c>
      <c r="S48" s="281">
        <f>+(Q48-E48)/(O48-E48)</f>
        <v>0.84206896551724142</v>
      </c>
      <c r="T48" s="30">
        <f>+(R48-E48)/(D48-E48)</f>
        <v>0.49836734693877549</v>
      </c>
      <c r="U48" s="123" t="s">
        <v>115</v>
      </c>
      <c r="V48" s="728">
        <v>0.9</v>
      </c>
      <c r="W48" s="13">
        <f t="shared" si="19"/>
        <v>0.9</v>
      </c>
      <c r="X48" s="167">
        <v>0.6</v>
      </c>
      <c r="Y48" s="167">
        <f>+X48</f>
        <v>0.6</v>
      </c>
      <c r="Z48" s="30">
        <f>+(X48-E48)/(V48-E48)</f>
        <v>0.59183673469387743</v>
      </c>
      <c r="AA48" s="30">
        <f>+(Y48-E48)/(D48-E48)</f>
        <v>0.59183673469387743</v>
      </c>
      <c r="AB48" s="168">
        <f t="shared" si="17"/>
        <v>0.59183673469387743</v>
      </c>
      <c r="AC48" s="729" t="s">
        <v>418</v>
      </c>
    </row>
    <row r="49" spans="1:29" ht="45" x14ac:dyDescent="0.25">
      <c r="A49" s="4" t="s">
        <v>49</v>
      </c>
      <c r="B49" s="54" t="s">
        <v>177</v>
      </c>
      <c r="C49" s="57" t="s">
        <v>183</v>
      </c>
      <c r="D49" s="13">
        <v>0.13200000000000001</v>
      </c>
      <c r="E49" s="168">
        <v>3.4000000000000002E-2</v>
      </c>
      <c r="F49" s="51">
        <v>0.04</v>
      </c>
      <c r="G49" s="13">
        <v>4.7E-2</v>
      </c>
      <c r="H49" s="123">
        <f>+G49/F49</f>
        <v>1.175</v>
      </c>
      <c r="I49" s="181">
        <v>0.06</v>
      </c>
      <c r="J49" s="40">
        <v>0.06</v>
      </c>
      <c r="K49" s="32">
        <v>2.9000000000000001E-2</v>
      </c>
      <c r="L49" s="14">
        <f>+K49</f>
        <v>2.9000000000000001E-2</v>
      </c>
      <c r="M49" s="30">
        <f>+K49/I49</f>
        <v>0.48333333333333339</v>
      </c>
      <c r="N49" s="123">
        <f>+L49/$K49</f>
        <v>1</v>
      </c>
      <c r="O49" s="125">
        <v>0.09</v>
      </c>
      <c r="P49" s="31">
        <v>0.09</v>
      </c>
      <c r="Q49" s="40">
        <v>0.1439</v>
      </c>
      <c r="R49" s="40">
        <f>+Q49</f>
        <v>0.1439</v>
      </c>
      <c r="S49" s="30">
        <f>+Q49/O49</f>
        <v>1.598888888888889</v>
      </c>
      <c r="T49" s="30">
        <f>+R49/$Q49</f>
        <v>1</v>
      </c>
      <c r="U49" s="123" t="s">
        <v>115</v>
      </c>
      <c r="V49" s="728">
        <v>0.13200000000000001</v>
      </c>
      <c r="W49" s="13">
        <f t="shared" si="19"/>
        <v>0.13200000000000001</v>
      </c>
      <c r="X49" s="167">
        <f t="shared" ref="X49:X54" si="20">+Q49</f>
        <v>0.1439</v>
      </c>
      <c r="Y49" s="168">
        <f t="shared" ref="Y49:Y57" si="21">+X49</f>
        <v>0.1439</v>
      </c>
      <c r="Z49" s="30">
        <f t="shared" ref="Z49:AA52" si="22">+X49/V49</f>
        <v>1.0901515151515151</v>
      </c>
      <c r="AA49" s="30">
        <f t="shared" si="22"/>
        <v>1.0901515151515151</v>
      </c>
      <c r="AB49" s="168">
        <f t="shared" si="17"/>
        <v>1.0901515151515151</v>
      </c>
      <c r="AC49" s="715" t="s">
        <v>375</v>
      </c>
    </row>
    <row r="50" spans="1:29" ht="45" x14ac:dyDescent="0.25">
      <c r="A50" s="4" t="s">
        <v>50</v>
      </c>
      <c r="B50" s="54" t="s">
        <v>177</v>
      </c>
      <c r="C50" s="57" t="s">
        <v>183</v>
      </c>
      <c r="D50" s="32">
        <v>0.14699999999999999</v>
      </c>
      <c r="E50" s="168">
        <v>9.2999999999999999E-2</v>
      </c>
      <c r="F50" s="51">
        <v>0.105</v>
      </c>
      <c r="G50" s="32">
        <v>0.17</v>
      </c>
      <c r="H50" s="123">
        <f>+G50/F50</f>
        <v>1.6190476190476193</v>
      </c>
      <c r="I50" s="181">
        <v>0.12</v>
      </c>
      <c r="J50" s="40">
        <v>0.12</v>
      </c>
      <c r="K50" s="32">
        <v>0.128</v>
      </c>
      <c r="L50" s="31">
        <f>+K50</f>
        <v>0.128</v>
      </c>
      <c r="M50" s="30">
        <f>+K50/I50</f>
        <v>1.0666666666666667</v>
      </c>
      <c r="N50" s="123">
        <f>+L50/$K50</f>
        <v>1</v>
      </c>
      <c r="O50" s="125">
        <v>0.13</v>
      </c>
      <c r="P50" s="31">
        <v>0.13</v>
      </c>
      <c r="Q50" s="40">
        <v>0.20649999999999999</v>
      </c>
      <c r="R50" s="40">
        <f>+Q50</f>
        <v>0.20649999999999999</v>
      </c>
      <c r="S50" s="30">
        <f>+Q50/O50</f>
        <v>1.5884615384615384</v>
      </c>
      <c r="T50" s="30">
        <f>+R50/$Q50</f>
        <v>1</v>
      </c>
      <c r="U50" s="123" t="s">
        <v>115</v>
      </c>
      <c r="V50" s="728">
        <v>0.14699999999999999</v>
      </c>
      <c r="W50" s="32">
        <f t="shared" si="19"/>
        <v>0.14699999999999999</v>
      </c>
      <c r="X50" s="168">
        <f t="shared" si="20"/>
        <v>0.20649999999999999</v>
      </c>
      <c r="Y50" s="168">
        <f t="shared" si="21"/>
        <v>0.20649999999999999</v>
      </c>
      <c r="Z50" s="30">
        <f t="shared" si="22"/>
        <v>1.4047619047619047</v>
      </c>
      <c r="AA50" s="30">
        <f t="shared" si="22"/>
        <v>1.4047619047619047</v>
      </c>
      <c r="AB50" s="168">
        <f t="shared" si="17"/>
        <v>1.4047619047619047</v>
      </c>
      <c r="AC50" s="715" t="s">
        <v>375</v>
      </c>
    </row>
    <row r="51" spans="1:29" ht="45" x14ac:dyDescent="0.25">
      <c r="A51" s="4" t="s">
        <v>51</v>
      </c>
      <c r="B51" s="54" t="s">
        <v>177</v>
      </c>
      <c r="C51" s="57" t="s">
        <v>183</v>
      </c>
      <c r="D51" s="32">
        <v>0.15</v>
      </c>
      <c r="E51" s="168">
        <v>0.1</v>
      </c>
      <c r="F51" s="51">
        <v>0.112</v>
      </c>
      <c r="G51" s="32">
        <v>0.1</v>
      </c>
      <c r="H51" s="123">
        <f>+G51/F51</f>
        <v>0.8928571428571429</v>
      </c>
      <c r="I51" s="181">
        <v>0.124</v>
      </c>
      <c r="J51" s="40">
        <v>0.124</v>
      </c>
      <c r="K51" s="30">
        <v>9.11E-2</v>
      </c>
      <c r="L51" s="30">
        <v>9.11E-2</v>
      </c>
      <c r="M51" s="30">
        <f>+K51/I51</f>
        <v>0.73467741935483877</v>
      </c>
      <c r="N51" s="123">
        <f>+L51/$K51</f>
        <v>1</v>
      </c>
      <c r="O51" s="125">
        <v>0.13700000000000001</v>
      </c>
      <c r="P51" s="31">
        <v>0.13700000000000001</v>
      </c>
      <c r="Q51" s="40">
        <v>9.0999999999999998E-2</v>
      </c>
      <c r="R51" s="40">
        <v>9.0999999999999998E-2</v>
      </c>
      <c r="S51" s="30">
        <f>+Q51/O51</f>
        <v>0.66423357664233573</v>
      </c>
      <c r="T51" s="30">
        <f>+R51/$Q51</f>
        <v>1</v>
      </c>
      <c r="U51" s="123" t="s">
        <v>115</v>
      </c>
      <c r="V51" s="716">
        <v>0.15</v>
      </c>
      <c r="W51" s="32">
        <f t="shared" si="19"/>
        <v>0.15</v>
      </c>
      <c r="X51" s="168">
        <f t="shared" si="20"/>
        <v>9.0999999999999998E-2</v>
      </c>
      <c r="Y51" s="168">
        <f t="shared" si="21"/>
        <v>9.0999999999999998E-2</v>
      </c>
      <c r="Z51" s="30">
        <f t="shared" si="22"/>
        <v>0.60666666666666669</v>
      </c>
      <c r="AA51" s="30">
        <f t="shared" si="22"/>
        <v>0.60666666666666669</v>
      </c>
      <c r="AB51" s="168">
        <f t="shared" si="17"/>
        <v>0.60666666666666669</v>
      </c>
      <c r="AC51" s="715" t="s">
        <v>375</v>
      </c>
    </row>
    <row r="52" spans="1:29" x14ac:dyDescent="0.25">
      <c r="A52" s="4" t="s">
        <v>52</v>
      </c>
      <c r="B52" s="54" t="s">
        <v>177</v>
      </c>
      <c r="C52" s="57" t="s">
        <v>204</v>
      </c>
      <c r="D52" s="29">
        <f>150000</f>
        <v>150000</v>
      </c>
      <c r="E52" s="200">
        <v>168664</v>
      </c>
      <c r="F52" s="702">
        <f>36905</f>
        <v>36905</v>
      </c>
      <c r="G52" s="16">
        <f>6230</f>
        <v>6230</v>
      </c>
      <c r="H52" s="123">
        <f>+G52/F52</f>
        <v>0.16881181411732826</v>
      </c>
      <c r="I52" s="161">
        <v>73810</v>
      </c>
      <c r="J52" s="42">
        <f>73810</f>
        <v>73810</v>
      </c>
      <c r="K52" s="29">
        <v>10018</v>
      </c>
      <c r="L52" s="64">
        <f>K52</f>
        <v>10018</v>
      </c>
      <c r="M52" s="437">
        <f>+K52/I52</f>
        <v>0.13572686627828207</v>
      </c>
      <c r="N52" s="442">
        <f>+L52/$K52</f>
        <v>1</v>
      </c>
      <c r="O52" s="56">
        <f>110715</f>
        <v>110715</v>
      </c>
      <c r="P52" s="27">
        <f>110715</f>
        <v>110715</v>
      </c>
      <c r="Q52" s="371">
        <v>20855</v>
      </c>
      <c r="R52" s="371">
        <f>Q52</f>
        <v>20855</v>
      </c>
      <c r="S52" s="30">
        <f>+Q52/O52</f>
        <v>0.18836652666756989</v>
      </c>
      <c r="T52" s="30">
        <f>+R52/$Q52</f>
        <v>1</v>
      </c>
      <c r="U52" s="123" t="s">
        <v>115</v>
      </c>
      <c r="V52" s="717">
        <v>150000</v>
      </c>
      <c r="W52" s="29">
        <f>+V52</f>
        <v>150000</v>
      </c>
      <c r="X52" s="165">
        <f t="shared" si="20"/>
        <v>20855</v>
      </c>
      <c r="Y52" s="165">
        <f t="shared" si="21"/>
        <v>20855</v>
      </c>
      <c r="Z52" s="281">
        <f t="shared" si="22"/>
        <v>0.13903333333333334</v>
      </c>
      <c r="AA52" s="30">
        <f t="shared" si="22"/>
        <v>0.13903333333333334</v>
      </c>
      <c r="AB52" s="168">
        <f t="shared" si="17"/>
        <v>0.13903333333333334</v>
      </c>
      <c r="AC52" s="715" t="s">
        <v>375</v>
      </c>
    </row>
    <row r="53" spans="1:29" ht="30" x14ac:dyDescent="0.25">
      <c r="A53" s="4" t="s">
        <v>53</v>
      </c>
      <c r="B53" s="54" t="s">
        <v>177</v>
      </c>
      <c r="C53" s="57" t="s">
        <v>186</v>
      </c>
      <c r="D53" s="32">
        <v>0.15</v>
      </c>
      <c r="E53" s="168">
        <v>0.19400000000000001</v>
      </c>
      <c r="F53" s="51">
        <v>0.183</v>
      </c>
      <c r="G53" s="32">
        <v>0.183</v>
      </c>
      <c r="H53" s="123">
        <f>(E53-G53)/(E53-F53)</f>
        <v>1</v>
      </c>
      <c r="I53" s="181">
        <v>0.17199999999999999</v>
      </c>
      <c r="J53" s="40">
        <v>0.17199999999999999</v>
      </c>
      <c r="K53" s="32">
        <v>0.17100000000000001</v>
      </c>
      <c r="L53" s="32">
        <v>0.17100000000000001</v>
      </c>
      <c r="M53" s="437">
        <f>+(E53-K53)/(E53-I53)</f>
        <v>1.0454545454545443</v>
      </c>
      <c r="N53" s="442">
        <f>+(E53-L53)/(E53-D53)</f>
        <v>0.52272727272727237</v>
      </c>
      <c r="O53" s="125">
        <v>0.161</v>
      </c>
      <c r="P53" s="31">
        <v>0.161</v>
      </c>
      <c r="Q53" s="40">
        <f>+K53</f>
        <v>0.17100000000000001</v>
      </c>
      <c r="R53" s="40">
        <f>+Q53</f>
        <v>0.17100000000000001</v>
      </c>
      <c r="S53" s="30">
        <f>+(E53-Q53)/(E53-O53)</f>
        <v>0.69696969696969668</v>
      </c>
      <c r="T53" s="30">
        <f>(E53-R53)/(E53-P53)</f>
        <v>0.69696969696969668</v>
      </c>
      <c r="U53" s="123" t="s">
        <v>312</v>
      </c>
      <c r="V53" s="723">
        <v>0.15</v>
      </c>
      <c r="W53" s="32">
        <f>+D53</f>
        <v>0.15</v>
      </c>
      <c r="X53" s="168">
        <f t="shared" si="20"/>
        <v>0.17100000000000001</v>
      </c>
      <c r="Y53" s="168">
        <f t="shared" si="21"/>
        <v>0.17100000000000001</v>
      </c>
      <c r="Z53" s="30">
        <f>(E53-X53)/(E53-V53)</f>
        <v>0.52272727272727237</v>
      </c>
      <c r="AA53" s="30">
        <f>+(E53-Y53)/(E53-W53)</f>
        <v>0.52272727272727237</v>
      </c>
      <c r="AB53" s="168">
        <f t="shared" si="17"/>
        <v>0.52272727272727237</v>
      </c>
      <c r="AC53" s="715" t="s">
        <v>376</v>
      </c>
    </row>
    <row r="54" spans="1:29" x14ac:dyDescent="0.25">
      <c r="A54" s="4" t="s">
        <v>54</v>
      </c>
      <c r="B54" s="54" t="s">
        <v>177</v>
      </c>
      <c r="C54" s="57" t="s">
        <v>186</v>
      </c>
      <c r="D54" s="32">
        <v>0.56999999999999995</v>
      </c>
      <c r="E54" s="168">
        <v>0.47799999999999998</v>
      </c>
      <c r="F54" s="51">
        <v>0.48899999999999999</v>
      </c>
      <c r="G54" s="32">
        <v>0.49399999999999999</v>
      </c>
      <c r="H54" s="123">
        <f>+(G54-E54)/(F54-E54)</f>
        <v>1.4545454545454546</v>
      </c>
      <c r="I54" s="181">
        <v>0.51600000000000001</v>
      </c>
      <c r="J54" s="40">
        <v>0.51600000000000001</v>
      </c>
      <c r="K54" s="32">
        <v>0.51500000000000001</v>
      </c>
      <c r="L54" s="32">
        <v>0.51500000000000001</v>
      </c>
      <c r="M54" s="30">
        <f>+(K54-E54)/(I54-E54)</f>
        <v>0.97368421052631582</v>
      </c>
      <c r="N54" s="30">
        <f>+(L54-E54)/(D54-E54)</f>
        <v>0.40217391304347877</v>
      </c>
      <c r="O54" s="181">
        <v>0.54300000000000004</v>
      </c>
      <c r="P54" s="31">
        <v>0.54300000000000004</v>
      </c>
      <c r="Q54" s="40">
        <v>0.52800000000000002</v>
      </c>
      <c r="R54" s="40">
        <v>0.52800000000000002</v>
      </c>
      <c r="S54" s="281">
        <f>+(Q54-E54)/(O54-E54)</f>
        <v>0.76923076923076927</v>
      </c>
      <c r="T54" s="30">
        <f>+R54/$Q54</f>
        <v>1</v>
      </c>
      <c r="U54" s="123" t="s">
        <v>115</v>
      </c>
      <c r="V54" s="723">
        <v>0.56999999999999995</v>
      </c>
      <c r="W54" s="32">
        <f>+D54</f>
        <v>0.56999999999999995</v>
      </c>
      <c r="X54" s="168">
        <f t="shared" si="20"/>
        <v>0.52800000000000002</v>
      </c>
      <c r="Y54" s="168">
        <f t="shared" si="21"/>
        <v>0.52800000000000002</v>
      </c>
      <c r="Z54" s="30">
        <f>(E54-X54)/(E54-V54)</f>
        <v>0.54347826086956585</v>
      </c>
      <c r="AA54" s="30">
        <f>+(E54-Y54)/(E54-W54)</f>
        <v>0.54347826086956585</v>
      </c>
      <c r="AB54" s="168">
        <f t="shared" si="17"/>
        <v>0.54347826086956585</v>
      </c>
      <c r="AC54" s="715" t="s">
        <v>375</v>
      </c>
    </row>
    <row r="55" spans="1:29" x14ac:dyDescent="0.25">
      <c r="A55" s="4" t="s">
        <v>55</v>
      </c>
      <c r="B55" s="54" t="s">
        <v>177</v>
      </c>
      <c r="C55" s="57" t="s">
        <v>204</v>
      </c>
      <c r="D55" s="29">
        <v>400000</v>
      </c>
      <c r="E55" s="29">
        <v>546631</v>
      </c>
      <c r="F55" s="702">
        <v>92888</v>
      </c>
      <c r="G55" s="16">
        <v>72898</v>
      </c>
      <c r="H55" s="123">
        <f>+G55/F55</f>
        <v>0.78479459133580221</v>
      </c>
      <c r="I55" s="161">
        <v>185776</v>
      </c>
      <c r="J55" s="42">
        <v>185776</v>
      </c>
      <c r="K55" s="29">
        <v>173782</v>
      </c>
      <c r="L55" s="16">
        <v>173782</v>
      </c>
      <c r="M55" s="437">
        <f>+K55/I55</f>
        <v>0.93543837740074065</v>
      </c>
      <c r="N55" s="442">
        <f>+L55/$K55</f>
        <v>1</v>
      </c>
      <c r="O55" s="56">
        <v>278664</v>
      </c>
      <c r="P55" s="27">
        <v>278664</v>
      </c>
      <c r="Q55" s="103">
        <v>225662</v>
      </c>
      <c r="R55" s="103">
        <v>225662</v>
      </c>
      <c r="S55" s="30">
        <f>+Q55/O55</f>
        <v>0.80979961530732347</v>
      </c>
      <c r="T55" s="30">
        <f>+R55/$Q55</f>
        <v>1</v>
      </c>
      <c r="U55" s="123" t="s">
        <v>115</v>
      </c>
      <c r="V55" s="717">
        <v>400000</v>
      </c>
      <c r="W55" s="29">
        <f>+D55</f>
        <v>400000</v>
      </c>
      <c r="X55" s="165">
        <f>+R55</f>
        <v>225662</v>
      </c>
      <c r="Y55" s="165">
        <f t="shared" si="21"/>
        <v>225662</v>
      </c>
      <c r="Z55" s="281">
        <f>+X55/V55</f>
        <v>0.56415499999999996</v>
      </c>
      <c r="AA55" s="30">
        <f>+Y55/W55</f>
        <v>0.56415499999999996</v>
      </c>
      <c r="AB55" s="168">
        <f t="shared" si="17"/>
        <v>0.56415499999999996</v>
      </c>
      <c r="AC55" s="715" t="s">
        <v>375</v>
      </c>
    </row>
    <row r="56" spans="1:29" ht="30" x14ac:dyDescent="0.25">
      <c r="A56" s="4" t="s">
        <v>56</v>
      </c>
      <c r="B56" s="54" t="s">
        <v>177</v>
      </c>
      <c r="C56" s="57" t="s">
        <v>205</v>
      </c>
      <c r="D56" s="29">
        <v>33</v>
      </c>
      <c r="E56" s="200">
        <v>25</v>
      </c>
      <c r="F56" s="702">
        <v>27</v>
      </c>
      <c r="G56" s="16">
        <v>26</v>
      </c>
      <c r="H56" s="123">
        <f>+G56/F56</f>
        <v>0.96296296296296291</v>
      </c>
      <c r="I56" s="161">
        <v>29</v>
      </c>
      <c r="J56" s="42">
        <v>29</v>
      </c>
      <c r="K56" s="29">
        <v>25</v>
      </c>
      <c r="L56" s="11">
        <v>25</v>
      </c>
      <c r="M56" s="30">
        <f>+K56/I56</f>
        <v>0.86206896551724133</v>
      </c>
      <c r="N56" s="123">
        <f>+L56/$K56</f>
        <v>1</v>
      </c>
      <c r="O56" s="56">
        <v>31</v>
      </c>
      <c r="P56" s="27">
        <v>31</v>
      </c>
      <c r="Q56" s="57">
        <v>26</v>
      </c>
      <c r="R56" s="57">
        <v>26</v>
      </c>
      <c r="S56" s="30">
        <f>+Q56/O56</f>
        <v>0.83870967741935487</v>
      </c>
      <c r="T56" s="30">
        <f>+R56/$Q56</f>
        <v>1</v>
      </c>
      <c r="U56" s="123" t="s">
        <v>115</v>
      </c>
      <c r="V56" s="730">
        <v>33</v>
      </c>
      <c r="W56" s="29">
        <f>+D56</f>
        <v>33</v>
      </c>
      <c r="X56" s="165">
        <f>+Q56</f>
        <v>26</v>
      </c>
      <c r="Y56" s="165">
        <f t="shared" si="21"/>
        <v>26</v>
      </c>
      <c r="Z56" s="30">
        <f>+X56/V56</f>
        <v>0.78787878787878785</v>
      </c>
      <c r="AA56" s="30">
        <f>+Y56/W56</f>
        <v>0.78787878787878785</v>
      </c>
      <c r="AB56" s="168">
        <f t="shared" si="17"/>
        <v>0.78787878787878785</v>
      </c>
      <c r="AC56" s="715" t="s">
        <v>375</v>
      </c>
    </row>
    <row r="57" spans="1:29" ht="30" x14ac:dyDescent="0.25">
      <c r="A57" s="4" t="s">
        <v>57</v>
      </c>
      <c r="B57" s="54" t="s">
        <v>177</v>
      </c>
      <c r="C57" s="57" t="s">
        <v>186</v>
      </c>
      <c r="D57" s="32">
        <v>0.08</v>
      </c>
      <c r="E57" s="32">
        <v>0.10100000000000001</v>
      </c>
      <c r="F57" s="51">
        <v>9.7000000000000003E-2</v>
      </c>
      <c r="G57" s="32">
        <v>9.2999999999999999E-2</v>
      </c>
      <c r="H57" s="123">
        <f>(E57-G57)/(E57-F57)</f>
        <v>2</v>
      </c>
      <c r="I57" s="181">
        <v>9.0999999999999998E-2</v>
      </c>
      <c r="J57" s="40">
        <v>9.0999999999999998E-2</v>
      </c>
      <c r="K57" s="32">
        <v>9.0300000000000005E-2</v>
      </c>
      <c r="L57" s="32">
        <v>9.0300000000000005E-2</v>
      </c>
      <c r="M57" s="30">
        <f>+(E57-K57)/(E57-I57)</f>
        <v>1.0699999999999992</v>
      </c>
      <c r="N57" s="123">
        <f>+(E57-L57)/(E57-D57)</f>
        <v>0.50952380952380949</v>
      </c>
      <c r="O57" s="125">
        <v>8.5999999999999993E-2</v>
      </c>
      <c r="P57" s="31">
        <v>8.5999999999999993E-2</v>
      </c>
      <c r="Q57" s="40">
        <f>+L57</f>
        <v>9.0300000000000005E-2</v>
      </c>
      <c r="R57" s="40">
        <f>+Q57</f>
        <v>9.0300000000000005E-2</v>
      </c>
      <c r="S57" s="30">
        <f>+(E57-Q57)/(E57-O57)</f>
        <v>0.71333333333333282</v>
      </c>
      <c r="T57" s="30">
        <f>(E57-R57)/(E57-P57)</f>
        <v>0.71333333333333282</v>
      </c>
      <c r="U57" s="123" t="s">
        <v>312</v>
      </c>
      <c r="V57" s="723">
        <v>0.08</v>
      </c>
      <c r="W57" s="32">
        <f>+D57</f>
        <v>0.08</v>
      </c>
      <c r="X57" s="168">
        <f>+Q57</f>
        <v>9.0300000000000005E-2</v>
      </c>
      <c r="Y57" s="168">
        <f t="shared" si="21"/>
        <v>9.0300000000000005E-2</v>
      </c>
      <c r="Z57" s="30">
        <f>(E57-X57)/(E57-V57)</f>
        <v>0.50952380952380949</v>
      </c>
      <c r="AA57" s="30">
        <f>+(E57-Y57)/(E57-W57)</f>
        <v>0.50952380952380949</v>
      </c>
      <c r="AB57" s="168">
        <f t="shared" si="17"/>
        <v>0.50952380952380949</v>
      </c>
      <c r="AC57" s="715" t="s">
        <v>376</v>
      </c>
    </row>
    <row r="58" spans="1:29" ht="30" x14ac:dyDescent="0.25">
      <c r="A58" s="4" t="s">
        <v>181</v>
      </c>
      <c r="B58" s="54" t="s">
        <v>180</v>
      </c>
      <c r="C58" s="57" t="s">
        <v>193</v>
      </c>
      <c r="D58" s="29">
        <v>125000</v>
      </c>
      <c r="E58" s="200">
        <v>23067</v>
      </c>
      <c r="F58" s="702">
        <v>18347</v>
      </c>
      <c r="G58" s="16">
        <v>20313</v>
      </c>
      <c r="H58" s="123">
        <f>+G58/F58</f>
        <v>1.1071564833487764</v>
      </c>
      <c r="I58" s="161">
        <v>34287</v>
      </c>
      <c r="J58" s="42">
        <f>+F58+I58</f>
        <v>52634</v>
      </c>
      <c r="K58" s="29">
        <v>22252</v>
      </c>
      <c r="L58" s="16">
        <f>+G58+K58</f>
        <v>42565</v>
      </c>
      <c r="M58" s="30">
        <f>+K58/I58</f>
        <v>0.64899232945431218</v>
      </c>
      <c r="N58" s="123">
        <f>+L58/$K58</f>
        <v>1.9128617652345856</v>
      </c>
      <c r="O58" s="56">
        <v>36183</v>
      </c>
      <c r="P58" s="27">
        <f>+O58+J58</f>
        <v>88817</v>
      </c>
      <c r="Q58" s="63">
        <v>23777</v>
      </c>
      <c r="R58" s="63">
        <f>+L58+Q58</f>
        <v>66342</v>
      </c>
      <c r="S58" s="30">
        <f>+Q58/O58</f>
        <v>0.6571318022275654</v>
      </c>
      <c r="T58" s="30">
        <f t="shared" ref="T58:T65" si="23">+R58/$Q58</f>
        <v>2.7901753795684905</v>
      </c>
      <c r="U58" s="123" t="s">
        <v>115</v>
      </c>
      <c r="V58" s="717">
        <v>36183</v>
      </c>
      <c r="W58" s="29">
        <f>+P58+V58</f>
        <v>125000</v>
      </c>
      <c r="X58" s="165">
        <v>11267</v>
      </c>
      <c r="Y58" s="165">
        <f>+R58+X58</f>
        <v>77609</v>
      </c>
      <c r="Z58" s="30">
        <f>+X58/V58</f>
        <v>0.31138932647928586</v>
      </c>
      <c r="AA58" s="30">
        <f>+Y58/W58</f>
        <v>0.62087199999999998</v>
      </c>
      <c r="AB58" s="168">
        <f t="shared" si="17"/>
        <v>0.62087199999999998</v>
      </c>
      <c r="AC58" s="715" t="s">
        <v>418</v>
      </c>
    </row>
    <row r="59" spans="1:29" ht="45" x14ac:dyDescent="0.25">
      <c r="A59" s="4" t="s">
        <v>59</v>
      </c>
      <c r="B59" s="54" t="s">
        <v>180</v>
      </c>
      <c r="C59" s="57" t="s">
        <v>183</v>
      </c>
      <c r="D59" s="32">
        <v>0.6</v>
      </c>
      <c r="E59" s="168">
        <v>0.39</v>
      </c>
      <c r="F59" s="51">
        <v>0.45</v>
      </c>
      <c r="G59" s="32">
        <v>0.91600000000000004</v>
      </c>
      <c r="H59" s="123">
        <f>+G59/F59</f>
        <v>2.0355555555555558</v>
      </c>
      <c r="I59" s="181">
        <v>0.5</v>
      </c>
      <c r="J59" s="40">
        <v>0.5</v>
      </c>
      <c r="K59" s="32">
        <v>0.43740000000000001</v>
      </c>
      <c r="L59" s="31">
        <v>0.4374377507754475</v>
      </c>
      <c r="M59" s="437">
        <f>+K59/I59</f>
        <v>0.87480000000000002</v>
      </c>
      <c r="N59" s="442">
        <f>+L59/$K59</f>
        <v>1.0000863072141004</v>
      </c>
      <c r="O59" s="125">
        <v>0.55000000000000004</v>
      </c>
      <c r="P59" s="31">
        <v>0.55000000000000004</v>
      </c>
      <c r="Q59" s="52">
        <v>0.40200000000000002</v>
      </c>
      <c r="R59" s="52">
        <v>0.40200000000000002</v>
      </c>
      <c r="S59" s="30">
        <f>+Q59/O59</f>
        <v>0.73090909090909084</v>
      </c>
      <c r="T59" s="30">
        <f t="shared" si="23"/>
        <v>1</v>
      </c>
      <c r="U59" s="123" t="s">
        <v>115</v>
      </c>
      <c r="V59" s="723">
        <v>0.6</v>
      </c>
      <c r="W59" s="32">
        <f>+D59</f>
        <v>0.6</v>
      </c>
      <c r="X59" s="168">
        <v>0.99950000000000006</v>
      </c>
      <c r="Y59" s="168">
        <f t="shared" ref="Y59:Y64" si="24">+X59</f>
        <v>0.99950000000000006</v>
      </c>
      <c r="Z59" s="281">
        <f>+X59/V59</f>
        <v>1.6658333333333335</v>
      </c>
      <c r="AA59" s="30">
        <f>+Y59/W59</f>
        <v>1.6658333333333335</v>
      </c>
      <c r="AB59" s="168">
        <f t="shared" si="17"/>
        <v>1.6658333333333335</v>
      </c>
      <c r="AC59" s="731" t="s">
        <v>418</v>
      </c>
    </row>
    <row r="60" spans="1:29" x14ac:dyDescent="0.25">
      <c r="A60" s="4" t="s">
        <v>60</v>
      </c>
      <c r="B60" s="54" t="s">
        <v>177</v>
      </c>
      <c r="C60" s="57" t="s">
        <v>198</v>
      </c>
      <c r="D60" s="29">
        <v>11638</v>
      </c>
      <c r="E60" s="200">
        <v>8893</v>
      </c>
      <c r="F60" s="702">
        <v>9500</v>
      </c>
      <c r="G60" s="16">
        <v>9477</v>
      </c>
      <c r="H60" s="123">
        <f>+(G60-E60)/(F60-E60)</f>
        <v>0.96210873146622733</v>
      </c>
      <c r="I60" s="161">
        <v>10216</v>
      </c>
      <c r="J60" s="42">
        <v>10216</v>
      </c>
      <c r="K60" s="29">
        <v>10843</v>
      </c>
      <c r="L60" s="65">
        <v>10843</v>
      </c>
      <c r="M60" s="30">
        <f>+(K60-E60)/(I60-E60)</f>
        <v>1.473922902494331</v>
      </c>
      <c r="N60" s="30">
        <f>+(L60-E60)/(D60-E60)</f>
        <v>0.7103825136612022</v>
      </c>
      <c r="O60" s="161">
        <v>10932</v>
      </c>
      <c r="P60" s="27">
        <f>+O60</f>
        <v>10932</v>
      </c>
      <c r="Q60" s="575">
        <v>13415</v>
      </c>
      <c r="R60" s="575">
        <f>+Q60</f>
        <v>13415</v>
      </c>
      <c r="S60" s="281">
        <f>+(Q60-E60)/(O60-E60)</f>
        <v>2.2177538008827855</v>
      </c>
      <c r="T60" s="30">
        <f t="shared" si="23"/>
        <v>1</v>
      </c>
      <c r="U60" s="123" t="s">
        <v>115</v>
      </c>
      <c r="V60" s="732">
        <v>11638</v>
      </c>
      <c r="W60" s="29">
        <f>+V60</f>
        <v>11638</v>
      </c>
      <c r="X60" s="165">
        <f>+Q60</f>
        <v>13415</v>
      </c>
      <c r="Y60" s="165">
        <f t="shared" si="24"/>
        <v>13415</v>
      </c>
      <c r="Z60" s="30">
        <f>+(X60-E60)/(V60-E60)</f>
        <v>1.6473588342440801</v>
      </c>
      <c r="AA60" s="30">
        <f>+(Y60-E60)/(W60-E60)</f>
        <v>1.6473588342440801</v>
      </c>
      <c r="AB60" s="168">
        <f t="shared" si="17"/>
        <v>1.6473588342440801</v>
      </c>
      <c r="AC60" s="715" t="s">
        <v>375</v>
      </c>
    </row>
    <row r="61" spans="1:29" ht="45" x14ac:dyDescent="0.25">
      <c r="A61" s="4" t="s">
        <v>61</v>
      </c>
      <c r="B61" s="54" t="s">
        <v>177</v>
      </c>
      <c r="C61" s="57" t="s">
        <v>206</v>
      </c>
      <c r="D61" s="29">
        <v>25</v>
      </c>
      <c r="E61" s="200">
        <v>0</v>
      </c>
      <c r="F61" s="702">
        <v>4</v>
      </c>
      <c r="G61" s="16">
        <v>12</v>
      </c>
      <c r="H61" s="123">
        <f>+(G61-E61)/(F61-E61)</f>
        <v>3</v>
      </c>
      <c r="I61" s="161">
        <v>12</v>
      </c>
      <c r="J61" s="42">
        <v>12</v>
      </c>
      <c r="K61" s="29">
        <v>24</v>
      </c>
      <c r="L61" s="11">
        <v>24</v>
      </c>
      <c r="M61" s="30">
        <f>+(K61-E61)/(I61-E61)</f>
        <v>2</v>
      </c>
      <c r="N61" s="30">
        <f>+(L61-E61)/(D61-E61)</f>
        <v>0.96</v>
      </c>
      <c r="O61" s="161">
        <v>20</v>
      </c>
      <c r="P61" s="27">
        <v>20</v>
      </c>
      <c r="Q61" s="575">
        <f>+K61</f>
        <v>24</v>
      </c>
      <c r="R61" s="575">
        <f>+Q61</f>
        <v>24</v>
      </c>
      <c r="S61" s="281">
        <f>+(Q61-E61)/(O61-E61)</f>
        <v>1.2</v>
      </c>
      <c r="T61" s="30">
        <f t="shared" si="23"/>
        <v>1</v>
      </c>
      <c r="U61" s="123" t="s">
        <v>313</v>
      </c>
      <c r="V61" s="733">
        <v>25</v>
      </c>
      <c r="W61" s="29">
        <f>+D61</f>
        <v>25</v>
      </c>
      <c r="X61" s="165">
        <f>+Q61</f>
        <v>24</v>
      </c>
      <c r="Y61" s="165">
        <f t="shared" si="24"/>
        <v>24</v>
      </c>
      <c r="Z61" s="30">
        <f>(E61-X61)/(E61-V61)</f>
        <v>0.96</v>
      </c>
      <c r="AA61" s="30">
        <f>+(E61-Y61)/(E61-W61)</f>
        <v>0.96</v>
      </c>
      <c r="AB61" s="168">
        <f>+AA61</f>
        <v>0.96</v>
      </c>
      <c r="AC61" s="715" t="s">
        <v>376</v>
      </c>
    </row>
    <row r="62" spans="1:29" ht="30" x14ac:dyDescent="0.25">
      <c r="A62" s="4" t="s">
        <v>62</v>
      </c>
      <c r="B62" s="54" t="s">
        <v>177</v>
      </c>
      <c r="C62" s="57" t="s">
        <v>207</v>
      </c>
      <c r="D62" s="29">
        <v>40000</v>
      </c>
      <c r="E62" s="200">
        <v>82723</v>
      </c>
      <c r="F62" s="702">
        <v>8000</v>
      </c>
      <c r="G62" s="16">
        <v>28058</v>
      </c>
      <c r="H62" s="123">
        <f>+G62/F62</f>
        <v>3.50725</v>
      </c>
      <c r="I62" s="161">
        <v>17500</v>
      </c>
      <c r="J62" s="42">
        <v>17500</v>
      </c>
      <c r="K62" s="29">
        <v>55022</v>
      </c>
      <c r="L62" s="27">
        <v>55022</v>
      </c>
      <c r="M62" s="437">
        <f>+K62/I62</f>
        <v>3.1441142857142856</v>
      </c>
      <c r="N62" s="442">
        <f>+L62/$K62</f>
        <v>1</v>
      </c>
      <c r="O62" s="56">
        <v>28500</v>
      </c>
      <c r="P62" s="27">
        <v>28500</v>
      </c>
      <c r="Q62" s="581">
        <v>87229</v>
      </c>
      <c r="R62" s="581">
        <f>+Q62</f>
        <v>87229</v>
      </c>
      <c r="S62" s="30">
        <f>+Q62/O62</f>
        <v>3.0606666666666666</v>
      </c>
      <c r="T62" s="30">
        <f t="shared" si="23"/>
        <v>1</v>
      </c>
      <c r="U62" s="123" t="s">
        <v>115</v>
      </c>
      <c r="V62" s="717">
        <v>40000</v>
      </c>
      <c r="W62" s="29">
        <f>+D62</f>
        <v>40000</v>
      </c>
      <c r="X62" s="165">
        <f>+R62</f>
        <v>87229</v>
      </c>
      <c r="Y62" s="165">
        <f t="shared" si="24"/>
        <v>87229</v>
      </c>
      <c r="Z62" s="281">
        <f>+X62/V62</f>
        <v>2.1807249999999998</v>
      </c>
      <c r="AA62" s="30">
        <f>+Y62/W62</f>
        <v>2.1807249999999998</v>
      </c>
      <c r="AB62" s="168">
        <f t="shared" ref="AB62:AB79" si="25">+AA62</f>
        <v>2.1807249999999998</v>
      </c>
      <c r="AC62" s="715" t="s">
        <v>375</v>
      </c>
    </row>
    <row r="63" spans="1:29" ht="30" x14ac:dyDescent="0.25">
      <c r="A63" s="4" t="s">
        <v>63</v>
      </c>
      <c r="B63" s="54" t="s">
        <v>177</v>
      </c>
      <c r="C63" s="57" t="s">
        <v>204</v>
      </c>
      <c r="D63" s="29">
        <v>7000</v>
      </c>
      <c r="E63" s="200">
        <v>14623</v>
      </c>
      <c r="F63" s="702">
        <v>1000</v>
      </c>
      <c r="G63" s="16">
        <v>4633</v>
      </c>
      <c r="H63" s="123">
        <f>+G63/F63</f>
        <v>4.633</v>
      </c>
      <c r="I63" s="161">
        <v>3000</v>
      </c>
      <c r="J63" s="42">
        <v>3000</v>
      </c>
      <c r="K63" s="29">
        <v>5117</v>
      </c>
      <c r="L63" s="27">
        <v>5117</v>
      </c>
      <c r="M63" s="437">
        <f>+K63/I63</f>
        <v>1.7056666666666667</v>
      </c>
      <c r="N63" s="442">
        <f>+L63/$K63</f>
        <v>1</v>
      </c>
      <c r="O63" s="56">
        <v>5000</v>
      </c>
      <c r="P63" s="27">
        <v>5000</v>
      </c>
      <c r="Q63" s="581">
        <v>3244</v>
      </c>
      <c r="R63" s="581">
        <f>+Q63</f>
        <v>3244</v>
      </c>
      <c r="S63" s="30">
        <f>+Q63/O63</f>
        <v>0.64880000000000004</v>
      </c>
      <c r="T63" s="30">
        <f t="shared" si="23"/>
        <v>1</v>
      </c>
      <c r="U63" s="123" t="s">
        <v>115</v>
      </c>
      <c r="V63" s="717">
        <v>7000</v>
      </c>
      <c r="W63" s="29">
        <f>+D63</f>
        <v>7000</v>
      </c>
      <c r="X63" s="165">
        <f>+R63</f>
        <v>3244</v>
      </c>
      <c r="Y63" s="165">
        <f t="shared" si="24"/>
        <v>3244</v>
      </c>
      <c r="Z63" s="281">
        <f>+X63/V63</f>
        <v>0.46342857142857141</v>
      </c>
      <c r="AA63" s="30">
        <f>+Y63/W63</f>
        <v>0.46342857142857141</v>
      </c>
      <c r="AB63" s="168">
        <f t="shared" si="25"/>
        <v>0.46342857142857141</v>
      </c>
      <c r="AC63" s="715" t="s">
        <v>375</v>
      </c>
    </row>
    <row r="64" spans="1:29" ht="30" x14ac:dyDescent="0.25">
      <c r="A64" s="4" t="s">
        <v>64</v>
      </c>
      <c r="B64" s="54" t="s">
        <v>177</v>
      </c>
      <c r="C64" s="57" t="s">
        <v>207</v>
      </c>
      <c r="D64" s="29">
        <v>4004</v>
      </c>
      <c r="E64" s="200">
        <v>2709</v>
      </c>
      <c r="F64" s="702">
        <v>3227</v>
      </c>
      <c r="G64" s="16">
        <v>3321</v>
      </c>
      <c r="H64" s="123">
        <f>+(G64-E64)/(F64-E64)</f>
        <v>1.1814671814671815</v>
      </c>
      <c r="I64" s="161">
        <v>3486</v>
      </c>
      <c r="J64" s="42">
        <v>3486</v>
      </c>
      <c r="K64" s="29">
        <v>7536</v>
      </c>
      <c r="L64" s="27">
        <v>7536</v>
      </c>
      <c r="M64" s="30">
        <f>+(K64-E64)/(I64-E64)</f>
        <v>6.2123552123552122</v>
      </c>
      <c r="N64" s="30">
        <f>+(L64-E64)/(D64-E64)</f>
        <v>3.7274131274131275</v>
      </c>
      <c r="O64" s="161">
        <v>3745</v>
      </c>
      <c r="P64" s="27">
        <v>3745</v>
      </c>
      <c r="Q64" s="581">
        <v>12456</v>
      </c>
      <c r="R64" s="581">
        <f>+Q64</f>
        <v>12456</v>
      </c>
      <c r="S64" s="281">
        <f>+(Q64-E64)/(O64-E64)</f>
        <v>9.4083011583011587</v>
      </c>
      <c r="T64" s="30">
        <f t="shared" si="23"/>
        <v>1</v>
      </c>
      <c r="U64" s="123" t="s">
        <v>115</v>
      </c>
      <c r="V64" s="717">
        <v>4004</v>
      </c>
      <c r="W64" s="29">
        <f>+D64</f>
        <v>4004</v>
      </c>
      <c r="X64" s="165">
        <f>+Q64</f>
        <v>12456</v>
      </c>
      <c r="Y64" s="165">
        <f t="shared" si="24"/>
        <v>12456</v>
      </c>
      <c r="Z64" s="30">
        <f>(E64-X64)/(E64-V64)</f>
        <v>7.5266409266409262</v>
      </c>
      <c r="AA64" s="30">
        <f>+(E64-Y64)/(E64-W64)</f>
        <v>7.5266409266409262</v>
      </c>
      <c r="AB64" s="168">
        <f t="shared" si="25"/>
        <v>7.5266409266409262</v>
      </c>
      <c r="AC64" s="715" t="s">
        <v>375</v>
      </c>
    </row>
    <row r="65" spans="1:29" ht="60" x14ac:dyDescent="0.25">
      <c r="A65" s="4" t="s">
        <v>65</v>
      </c>
      <c r="B65" s="54" t="s">
        <v>177</v>
      </c>
      <c r="C65" s="57" t="s">
        <v>193</v>
      </c>
      <c r="D65" s="29">
        <v>40000</v>
      </c>
      <c r="E65" s="200">
        <v>0</v>
      </c>
      <c r="F65" s="702">
        <v>10000</v>
      </c>
      <c r="G65" s="16">
        <v>10141</v>
      </c>
      <c r="H65" s="123">
        <f>+G65/F65</f>
        <v>1.0141</v>
      </c>
      <c r="I65" s="161">
        <v>10000</v>
      </c>
      <c r="J65" s="42">
        <f>+F65+I65</f>
        <v>20000</v>
      </c>
      <c r="K65" s="29">
        <v>12730</v>
      </c>
      <c r="L65" s="439">
        <f>+G65+K65</f>
        <v>22871</v>
      </c>
      <c r="M65" s="438">
        <f>+K65/I65</f>
        <v>1.2729999999999999</v>
      </c>
      <c r="N65" s="442">
        <f>+L65/$K65</f>
        <v>1.7966221523959152</v>
      </c>
      <c r="O65" s="56">
        <v>10000</v>
      </c>
      <c r="P65" s="27">
        <f>+J65+O65</f>
        <v>30000</v>
      </c>
      <c r="Q65" s="66">
        <v>9083</v>
      </c>
      <c r="R65" s="63">
        <f>+L65+Q65</f>
        <v>31954</v>
      </c>
      <c r="S65" s="30">
        <f>+Q65/O65</f>
        <v>0.9083</v>
      </c>
      <c r="T65" s="30">
        <f t="shared" si="23"/>
        <v>3.5180006605747001</v>
      </c>
      <c r="U65" s="123" t="s">
        <v>115</v>
      </c>
      <c r="V65" s="717">
        <v>10000</v>
      </c>
      <c r="W65" s="29">
        <f>+P65+V65</f>
        <v>40000</v>
      </c>
      <c r="X65" s="467">
        <v>8029</v>
      </c>
      <c r="Y65" s="467">
        <f>+R65</f>
        <v>31954</v>
      </c>
      <c r="Z65" s="30">
        <f>+X65/V65</f>
        <v>0.80289999999999995</v>
      </c>
      <c r="AA65" s="32">
        <f>+Y65/W65</f>
        <v>0.79884999999999995</v>
      </c>
      <c r="AB65" s="168">
        <f t="shared" si="25"/>
        <v>0.79884999999999995</v>
      </c>
      <c r="AC65" s="734" t="s">
        <v>413</v>
      </c>
    </row>
    <row r="66" spans="1:29" x14ac:dyDescent="0.25">
      <c r="A66" s="4" t="s">
        <v>66</v>
      </c>
      <c r="B66" s="54" t="s">
        <v>177</v>
      </c>
      <c r="C66" s="57" t="s">
        <v>186</v>
      </c>
      <c r="D66" s="32">
        <v>0.05</v>
      </c>
      <c r="E66" s="168">
        <v>0</v>
      </c>
      <c r="F66" s="706">
        <v>0.05</v>
      </c>
      <c r="G66" s="32">
        <v>1.9E-2</v>
      </c>
      <c r="H66" s="123">
        <v>1</v>
      </c>
      <c r="I66" s="226">
        <v>0.05</v>
      </c>
      <c r="J66" s="707">
        <v>0.05</v>
      </c>
      <c r="K66" s="32">
        <v>1.34E-2</v>
      </c>
      <c r="L66" s="31">
        <v>1.34E-2</v>
      </c>
      <c r="M66" s="30">
        <v>1</v>
      </c>
      <c r="N66" s="123">
        <v>1</v>
      </c>
      <c r="O66" s="125">
        <v>0.05</v>
      </c>
      <c r="P66" s="31">
        <v>0.05</v>
      </c>
      <c r="Q66" s="40">
        <v>2.4299999999999999E-2</v>
      </c>
      <c r="R66" s="40">
        <v>2.4299999999999999E-2</v>
      </c>
      <c r="S66" s="30">
        <v>1</v>
      </c>
      <c r="T66" s="30">
        <v>1</v>
      </c>
      <c r="U66" s="123" t="s">
        <v>115</v>
      </c>
      <c r="V66" s="723">
        <v>0.05</v>
      </c>
      <c r="W66" s="708">
        <f>+D66</f>
        <v>0.05</v>
      </c>
      <c r="X66" s="168">
        <f>+Q66</f>
        <v>2.4299999999999999E-2</v>
      </c>
      <c r="Y66" s="168">
        <f>+X66</f>
        <v>2.4299999999999999E-2</v>
      </c>
      <c r="Z66" s="30">
        <v>1</v>
      </c>
      <c r="AA66" s="30">
        <v>1</v>
      </c>
      <c r="AB66" s="168">
        <f t="shared" si="25"/>
        <v>1</v>
      </c>
      <c r="AC66" s="715" t="s">
        <v>375</v>
      </c>
    </row>
    <row r="67" spans="1:29" ht="30" x14ac:dyDescent="0.25">
      <c r="A67" s="4" t="s">
        <v>67</v>
      </c>
      <c r="B67" s="54" t="s">
        <v>177</v>
      </c>
      <c r="C67" s="57" t="s">
        <v>204</v>
      </c>
      <c r="D67" s="29">
        <v>20</v>
      </c>
      <c r="E67" s="200">
        <v>0</v>
      </c>
      <c r="F67" s="702">
        <v>2</v>
      </c>
      <c r="G67" s="29">
        <v>0</v>
      </c>
      <c r="H67" s="123">
        <f>+G67/F67</f>
        <v>0</v>
      </c>
      <c r="I67" s="161">
        <v>4</v>
      </c>
      <c r="J67" s="42">
        <f>+F67+I67</f>
        <v>6</v>
      </c>
      <c r="K67" s="29">
        <f>+L67-G67</f>
        <v>0</v>
      </c>
      <c r="L67" s="11">
        <v>0</v>
      </c>
      <c r="M67" s="437">
        <f>+K67/I67</f>
        <v>0</v>
      </c>
      <c r="N67" s="442" t="e">
        <f>+L67/$K67</f>
        <v>#DIV/0!</v>
      </c>
      <c r="O67" s="56">
        <v>6</v>
      </c>
      <c r="P67" s="27">
        <v>6</v>
      </c>
      <c r="Q67" s="54">
        <v>10</v>
      </c>
      <c r="R67" s="63">
        <f>+L67+Q67</f>
        <v>10</v>
      </c>
      <c r="S67" s="30">
        <f>+Q67/O67</f>
        <v>1.6666666666666667</v>
      </c>
      <c r="T67" s="30">
        <f>+R67/$Q67</f>
        <v>1</v>
      </c>
      <c r="U67" s="123" t="s">
        <v>115</v>
      </c>
      <c r="V67" s="717">
        <v>8</v>
      </c>
      <c r="W67" s="29">
        <f>+F67+I67+O67+V67</f>
        <v>20</v>
      </c>
      <c r="X67" s="165">
        <v>0</v>
      </c>
      <c r="Y67" s="165">
        <f>+R67+X67</f>
        <v>10</v>
      </c>
      <c r="Z67" s="30">
        <f>+X67/V67</f>
        <v>0</v>
      </c>
      <c r="AA67" s="30">
        <f>+Y67/W67</f>
        <v>0.5</v>
      </c>
      <c r="AB67" s="168">
        <f t="shared" si="25"/>
        <v>0.5</v>
      </c>
      <c r="AC67" s="715" t="s">
        <v>375</v>
      </c>
    </row>
    <row r="68" spans="1:29" ht="75" x14ac:dyDescent="0.25">
      <c r="A68" s="4" t="s">
        <v>306</v>
      </c>
      <c r="B68" s="54" t="s">
        <v>177</v>
      </c>
      <c r="C68" s="57" t="s">
        <v>183</v>
      </c>
      <c r="D68" s="38">
        <v>1</v>
      </c>
      <c r="E68" s="168">
        <v>0</v>
      </c>
      <c r="F68" s="703">
        <v>0</v>
      </c>
      <c r="G68" s="435">
        <v>0</v>
      </c>
      <c r="H68" s="143" t="str">
        <f>IFERROR((G68-E68)/(F68-E68),"N/A")</f>
        <v>N/A</v>
      </c>
      <c r="I68" s="158">
        <f>+J68-F68</f>
        <v>0.35</v>
      </c>
      <c r="J68" s="40">
        <v>0.35</v>
      </c>
      <c r="K68" s="32">
        <f>+L68-G68</f>
        <v>0.54500000000000004</v>
      </c>
      <c r="L68" s="41">
        <v>0.54500000000000004</v>
      </c>
      <c r="M68" s="30">
        <f>+(K68-E68)/(I68-E68)</f>
        <v>1.5571428571428574</v>
      </c>
      <c r="N68" s="30">
        <f>+(L68-E68)/(D68-E68)</f>
        <v>0.54500000000000004</v>
      </c>
      <c r="O68" s="158">
        <v>0.7</v>
      </c>
      <c r="P68" s="40">
        <v>0.7</v>
      </c>
      <c r="Q68" s="40">
        <v>0.6</v>
      </c>
      <c r="R68" s="40">
        <v>0.6</v>
      </c>
      <c r="S68" s="281">
        <f>+(Q68-E68)/(O68-E68)</f>
        <v>0.85714285714285721</v>
      </c>
      <c r="T68" s="30">
        <f>+R68/$Q68</f>
        <v>1</v>
      </c>
      <c r="U68" s="123" t="s">
        <v>115</v>
      </c>
      <c r="V68" s="716">
        <v>1</v>
      </c>
      <c r="W68" s="38">
        <f>+D68</f>
        <v>1</v>
      </c>
      <c r="X68" s="176">
        <f>+Q68</f>
        <v>0.6</v>
      </c>
      <c r="Y68" s="176">
        <f>+X68</f>
        <v>0.6</v>
      </c>
      <c r="Z68" s="30">
        <f>(E68-X68)/(E68-V68)</f>
        <v>0.6</v>
      </c>
      <c r="AA68" s="30">
        <f>+(E68-Y68)/(E68-W68)</f>
        <v>0.6</v>
      </c>
      <c r="AB68" s="168">
        <f t="shared" si="25"/>
        <v>0.6</v>
      </c>
      <c r="AC68" s="715" t="s">
        <v>375</v>
      </c>
    </row>
    <row r="69" spans="1:29" ht="45" x14ac:dyDescent="0.25">
      <c r="A69" s="4" t="s">
        <v>69</v>
      </c>
      <c r="B69" s="54" t="s">
        <v>177</v>
      </c>
      <c r="C69" s="57" t="s">
        <v>183</v>
      </c>
      <c r="D69" s="38">
        <v>1</v>
      </c>
      <c r="E69" s="205">
        <v>0</v>
      </c>
      <c r="F69" s="703">
        <v>0.05</v>
      </c>
      <c r="G69" s="41">
        <v>0.05</v>
      </c>
      <c r="H69" s="123">
        <f>+(G69-E69)/(F69-E69)</f>
        <v>1</v>
      </c>
      <c r="I69" s="158">
        <v>0.3</v>
      </c>
      <c r="J69" s="40">
        <v>0.3</v>
      </c>
      <c r="K69" s="32">
        <v>0.15</v>
      </c>
      <c r="L69" s="41">
        <v>0.15</v>
      </c>
      <c r="M69" s="30">
        <f>+(K69-E69)/(I69-E69)</f>
        <v>0.5</v>
      </c>
      <c r="N69" s="30">
        <f>+(L69-E69)/(D69-E69)</f>
        <v>0.15</v>
      </c>
      <c r="O69" s="158">
        <v>0.5</v>
      </c>
      <c r="P69" s="40">
        <v>0.5</v>
      </c>
      <c r="Q69" s="40">
        <v>0.2</v>
      </c>
      <c r="R69" s="40">
        <v>0.2</v>
      </c>
      <c r="S69" s="281">
        <f>+(Q69-E69)/(O69-E69)</f>
        <v>0.4</v>
      </c>
      <c r="T69" s="30">
        <f>+R69/$Q69</f>
        <v>1</v>
      </c>
      <c r="U69" s="123" t="s">
        <v>115</v>
      </c>
      <c r="V69" s="716">
        <v>1</v>
      </c>
      <c r="W69" s="38">
        <f>+D69</f>
        <v>1</v>
      </c>
      <c r="X69" s="176">
        <f>+Q69</f>
        <v>0.2</v>
      </c>
      <c r="Y69" s="176">
        <f>+X69</f>
        <v>0.2</v>
      </c>
      <c r="Z69" s="30">
        <f>(E69-X69)/(E69-V69)</f>
        <v>0.2</v>
      </c>
      <c r="AA69" s="30">
        <f>+(E69-Y69)/(E69-W69)</f>
        <v>0.2</v>
      </c>
      <c r="AB69" s="168">
        <f t="shared" si="25"/>
        <v>0.2</v>
      </c>
      <c r="AC69" s="715" t="s">
        <v>375</v>
      </c>
    </row>
    <row r="70" spans="1:29" ht="30" x14ac:dyDescent="0.25">
      <c r="A70" s="4" t="s">
        <v>71</v>
      </c>
      <c r="B70" s="54" t="s">
        <v>177</v>
      </c>
      <c r="C70" s="57" t="s">
        <v>195</v>
      </c>
      <c r="D70" s="42">
        <v>46000</v>
      </c>
      <c r="E70" s="200">
        <v>43429</v>
      </c>
      <c r="F70" s="493">
        <v>1000</v>
      </c>
      <c r="G70" s="43">
        <v>2458</v>
      </c>
      <c r="H70" s="123">
        <f>+G70/F70</f>
        <v>2.4580000000000002</v>
      </c>
      <c r="I70" s="494">
        <v>15000</v>
      </c>
      <c r="J70" s="55">
        <f>+F70+I70</f>
        <v>16000</v>
      </c>
      <c r="K70" s="42">
        <f>+L70-G70</f>
        <v>967</v>
      </c>
      <c r="L70" s="43">
        <v>3425</v>
      </c>
      <c r="M70" s="145">
        <f>+K70/I70</f>
        <v>6.4466666666666672E-2</v>
      </c>
      <c r="N70" s="143">
        <f>+L70/$K70</f>
        <v>3.5418821096173732</v>
      </c>
      <c r="O70" s="495">
        <v>15000</v>
      </c>
      <c r="P70" s="42">
        <f>+J70+O70</f>
        <v>31000</v>
      </c>
      <c r="Q70" s="43">
        <v>3135</v>
      </c>
      <c r="R70" s="66">
        <f>+L70+Q70</f>
        <v>6560</v>
      </c>
      <c r="S70" s="145">
        <f>+Q70/O70</f>
        <v>0.20899999999999999</v>
      </c>
      <c r="T70" s="145">
        <f>+R70/$Q70</f>
        <v>2.0925039872408293</v>
      </c>
      <c r="U70" s="143" t="s">
        <v>115</v>
      </c>
      <c r="V70" s="717">
        <v>15000</v>
      </c>
      <c r="W70" s="29">
        <f>+F70+I70+O70+V70</f>
        <v>46000</v>
      </c>
      <c r="X70" s="165">
        <v>0</v>
      </c>
      <c r="Y70" s="165">
        <f>+R70+X70</f>
        <v>6560</v>
      </c>
      <c r="Z70" s="30">
        <f>+X70/V70</f>
        <v>0</v>
      </c>
      <c r="AA70" s="30">
        <f>+Y70/W70</f>
        <v>0.14260869565217391</v>
      </c>
      <c r="AB70" s="168">
        <f t="shared" si="25"/>
        <v>0.14260869565217391</v>
      </c>
      <c r="AC70" s="715" t="s">
        <v>375</v>
      </c>
    </row>
    <row r="71" spans="1:29" ht="45" x14ac:dyDescent="0.25">
      <c r="A71" s="4" t="s">
        <v>295</v>
      </c>
      <c r="B71" s="54" t="s">
        <v>178</v>
      </c>
      <c r="C71" s="57" t="s">
        <v>209</v>
      </c>
      <c r="D71" s="27">
        <v>95</v>
      </c>
      <c r="E71" s="200">
        <v>94</v>
      </c>
      <c r="F71" s="702">
        <v>94</v>
      </c>
      <c r="G71" s="11">
        <v>12</v>
      </c>
      <c r="H71" s="249">
        <f>+(G71-0)/(F71-0)</f>
        <v>0.1276595744680851</v>
      </c>
      <c r="I71" s="160">
        <v>95</v>
      </c>
      <c r="J71" s="701">
        <v>95</v>
      </c>
      <c r="K71" s="29">
        <v>88</v>
      </c>
      <c r="L71" s="11">
        <v>88</v>
      </c>
      <c r="M71" s="30">
        <f>+(K71-0)/(I71-0)</f>
        <v>0.9263157894736842</v>
      </c>
      <c r="N71" s="30">
        <f>+(L71-0)/(D71-0)</f>
        <v>0.9263157894736842</v>
      </c>
      <c r="O71" s="161">
        <v>95</v>
      </c>
      <c r="P71" s="27">
        <v>95</v>
      </c>
      <c r="Q71" s="57">
        <v>73</v>
      </c>
      <c r="R71" s="57">
        <v>73</v>
      </c>
      <c r="S71" s="281">
        <f>+(Q71-0)/(O71-0)</f>
        <v>0.76842105263157889</v>
      </c>
      <c r="T71" s="30">
        <f>+(R71-0)/(D71-0)</f>
        <v>0.76842105263157889</v>
      </c>
      <c r="U71" s="123" t="s">
        <v>115</v>
      </c>
      <c r="V71" s="717">
        <v>95</v>
      </c>
      <c r="W71" s="27">
        <f>+D71</f>
        <v>95</v>
      </c>
      <c r="X71" s="162">
        <v>7</v>
      </c>
      <c r="Y71" s="162">
        <f>+R71</f>
        <v>73</v>
      </c>
      <c r="Z71" s="30">
        <f>+X71/V71</f>
        <v>7.3684210526315783E-2</v>
      </c>
      <c r="AA71" s="30">
        <f>+Y71/W71</f>
        <v>0.76842105263157889</v>
      </c>
      <c r="AB71" s="168">
        <f>+AA71</f>
        <v>0.76842105263157889</v>
      </c>
      <c r="AC71" s="715" t="s">
        <v>412</v>
      </c>
    </row>
    <row r="72" spans="1:29" ht="60" x14ac:dyDescent="0.25">
      <c r="A72" s="4" t="s">
        <v>76</v>
      </c>
      <c r="B72" s="54" t="s">
        <v>178</v>
      </c>
      <c r="C72" s="57" t="s">
        <v>183</v>
      </c>
      <c r="D72" s="23">
        <v>0.5</v>
      </c>
      <c r="E72" s="168">
        <v>0</v>
      </c>
      <c r="F72" s="703">
        <v>0</v>
      </c>
      <c r="G72" s="435">
        <v>0</v>
      </c>
      <c r="H72" s="123" t="e">
        <f>+(G72-E72)/(F72-E72)</f>
        <v>#DIV/0!</v>
      </c>
      <c r="I72" s="182">
        <f>+J72-F72</f>
        <v>0.2</v>
      </c>
      <c r="J72" s="707">
        <v>0.2</v>
      </c>
      <c r="K72" s="15">
        <v>0.03</v>
      </c>
      <c r="L72" s="12">
        <v>0.03</v>
      </c>
      <c r="M72" s="30">
        <f>+(K72-E72)/(I72-E72)</f>
        <v>0.15</v>
      </c>
      <c r="N72" s="30">
        <f>+(L72-E72)/(D72-E72)</f>
        <v>0.06</v>
      </c>
      <c r="O72" s="181">
        <v>0.3</v>
      </c>
      <c r="P72" s="31">
        <v>0.3</v>
      </c>
      <c r="Q72" s="40">
        <v>0.18</v>
      </c>
      <c r="R72" s="40">
        <v>0.18</v>
      </c>
      <c r="S72" s="281">
        <f>+(Q72-E72)/(O72-E72)</f>
        <v>0.6</v>
      </c>
      <c r="T72" s="30">
        <f t="shared" ref="T72:T79" si="26">+R72/$Q72</f>
        <v>1</v>
      </c>
      <c r="U72" s="123" t="s">
        <v>115</v>
      </c>
      <c r="V72" s="716">
        <v>0.5</v>
      </c>
      <c r="W72" s="23">
        <f>+D72</f>
        <v>0.5</v>
      </c>
      <c r="X72" s="177">
        <f>+Q72</f>
        <v>0.18</v>
      </c>
      <c r="Y72" s="177">
        <f>+X72</f>
        <v>0.18</v>
      </c>
      <c r="Z72" s="30">
        <f>(E72-X72)/(E72-V72)</f>
        <v>0.36</v>
      </c>
      <c r="AA72" s="30">
        <f>+(E72-Y72)/(E72-W72)</f>
        <v>0.36</v>
      </c>
      <c r="AB72" s="168">
        <f t="shared" si="25"/>
        <v>0.36</v>
      </c>
      <c r="AC72" s="715" t="s">
        <v>375</v>
      </c>
    </row>
    <row r="73" spans="1:29" ht="45" x14ac:dyDescent="0.25">
      <c r="A73" s="4" t="s">
        <v>77</v>
      </c>
      <c r="B73" s="54" t="s">
        <v>180</v>
      </c>
      <c r="C73" s="57" t="s">
        <v>210</v>
      </c>
      <c r="D73" s="27">
        <v>282</v>
      </c>
      <c r="E73" s="200">
        <v>0</v>
      </c>
      <c r="F73" s="702">
        <v>103</v>
      </c>
      <c r="G73" s="20">
        <v>121</v>
      </c>
      <c r="H73" s="123">
        <f>+(G73-E73)/(F73-E73)</f>
        <v>1.174757281553398</v>
      </c>
      <c r="I73" s="160">
        <v>163</v>
      </c>
      <c r="J73" s="701">
        <v>163</v>
      </c>
      <c r="K73" s="29">
        <v>185</v>
      </c>
      <c r="L73" s="20">
        <v>185</v>
      </c>
      <c r="M73" s="30">
        <f>+(K73-E73)/(I73-E73)</f>
        <v>1.1349693251533743</v>
      </c>
      <c r="N73" s="30">
        <f>+(L73-E73)/(D73-E73)</f>
        <v>0.65602836879432624</v>
      </c>
      <c r="O73" s="161">
        <v>223</v>
      </c>
      <c r="P73" s="27">
        <v>223</v>
      </c>
      <c r="Q73" s="575">
        <v>269</v>
      </c>
      <c r="R73" s="575">
        <f>+Q73</f>
        <v>269</v>
      </c>
      <c r="S73" s="281">
        <f>+(Q73-E73)/(O73-E73)</f>
        <v>1.2062780269058295</v>
      </c>
      <c r="T73" s="30">
        <f t="shared" si="26"/>
        <v>1</v>
      </c>
      <c r="U73" s="123" t="s">
        <v>115</v>
      </c>
      <c r="V73" s="717">
        <v>282</v>
      </c>
      <c r="W73" s="27">
        <f>+D73</f>
        <v>282</v>
      </c>
      <c r="X73" s="162">
        <f>+Q73</f>
        <v>269</v>
      </c>
      <c r="Y73" s="162">
        <f>+X73</f>
        <v>269</v>
      </c>
      <c r="Z73" s="30">
        <f>(E73-X73)/(E73-V73)</f>
        <v>0.95390070921985815</v>
      </c>
      <c r="AA73" s="30">
        <f>+(E73-Y73)/(E73-W73)</f>
        <v>0.95390070921985815</v>
      </c>
      <c r="AB73" s="168">
        <f t="shared" si="25"/>
        <v>0.95390070921985815</v>
      </c>
      <c r="AC73" s="715" t="s">
        <v>375</v>
      </c>
    </row>
    <row r="74" spans="1:29" ht="60" x14ac:dyDescent="0.25">
      <c r="A74" s="4" t="s">
        <v>78</v>
      </c>
      <c r="B74" s="54" t="s">
        <v>177</v>
      </c>
      <c r="C74" s="57" t="s">
        <v>183</v>
      </c>
      <c r="D74" s="38">
        <v>1</v>
      </c>
      <c r="E74" s="205" t="s">
        <v>260</v>
      </c>
      <c r="F74" s="743">
        <v>0</v>
      </c>
      <c r="G74" s="45">
        <v>0</v>
      </c>
      <c r="H74" s="123" t="s">
        <v>261</v>
      </c>
      <c r="I74" s="182">
        <v>0.5</v>
      </c>
      <c r="J74" s="707">
        <v>0.5</v>
      </c>
      <c r="K74" s="146">
        <v>0.5</v>
      </c>
      <c r="L74" s="459">
        <f>+G74+K74</f>
        <v>0.5</v>
      </c>
      <c r="M74" s="438">
        <f>+K74/I74</f>
        <v>1</v>
      </c>
      <c r="N74" s="442">
        <f>+L74/$K74</f>
        <v>1</v>
      </c>
      <c r="O74" s="127">
        <v>0.5</v>
      </c>
      <c r="P74" s="40">
        <f>+J74+O74</f>
        <v>1</v>
      </c>
      <c r="Q74" s="44">
        <v>0.5</v>
      </c>
      <c r="R74" s="44">
        <f>+L74+Q74</f>
        <v>1</v>
      </c>
      <c r="S74" s="30">
        <f>+Q74/O74</f>
        <v>1</v>
      </c>
      <c r="T74" s="30">
        <f t="shared" si="26"/>
        <v>2</v>
      </c>
      <c r="U74" s="123" t="s">
        <v>115</v>
      </c>
      <c r="V74" s="716">
        <v>0</v>
      </c>
      <c r="W74" s="709">
        <f>+P74+V74</f>
        <v>1</v>
      </c>
      <c r="X74" s="297">
        <v>0</v>
      </c>
      <c r="Y74" s="297">
        <f>+R74+X74</f>
        <v>1</v>
      </c>
      <c r="Z74" s="30" t="e">
        <f>+X74/V74</f>
        <v>#DIV/0!</v>
      </c>
      <c r="AA74" s="30">
        <f>+Y74/W74</f>
        <v>1</v>
      </c>
      <c r="AB74" s="168">
        <f t="shared" si="25"/>
        <v>1</v>
      </c>
      <c r="AC74" s="715" t="s">
        <v>375</v>
      </c>
    </row>
    <row r="75" spans="1:29" ht="45.75" thickBot="1" x14ac:dyDescent="0.3">
      <c r="A75" s="744" t="s">
        <v>79</v>
      </c>
      <c r="B75" s="735" t="s">
        <v>180</v>
      </c>
      <c r="C75" s="736" t="s">
        <v>183</v>
      </c>
      <c r="D75" s="116">
        <v>0.84</v>
      </c>
      <c r="E75" s="207">
        <v>0.72</v>
      </c>
      <c r="F75" s="710">
        <v>0.78</v>
      </c>
      <c r="G75" s="58">
        <v>0.77249999999999996</v>
      </c>
      <c r="H75" s="123">
        <f>+(G75-E75)/(F75-E75)</f>
        <v>0.87499999999999911</v>
      </c>
      <c r="I75" s="183">
        <v>0.79</v>
      </c>
      <c r="J75" s="711">
        <v>0.79</v>
      </c>
      <c r="K75" s="119">
        <v>0.82589999999999997</v>
      </c>
      <c r="L75" s="120">
        <v>0.82589999999999997</v>
      </c>
      <c r="M75" s="30">
        <f>+(K75-E75)/(I75-E75)</f>
        <v>1.5128571428571413</v>
      </c>
      <c r="N75" s="30">
        <f>+(L75-E75)/(D75-E75)</f>
        <v>0.88249999999999995</v>
      </c>
      <c r="O75" s="441">
        <v>0.81</v>
      </c>
      <c r="P75" s="712">
        <v>0.81</v>
      </c>
      <c r="Q75" s="711">
        <f>+K75</f>
        <v>0.82589999999999997</v>
      </c>
      <c r="R75" s="711">
        <f>+Q75</f>
        <v>0.82589999999999997</v>
      </c>
      <c r="S75" s="281">
        <f>+(Q75-E75)/(O75-E75)</f>
        <v>1.1766666666666656</v>
      </c>
      <c r="T75" s="117">
        <f t="shared" si="26"/>
        <v>1</v>
      </c>
      <c r="U75" s="124" t="s">
        <v>313</v>
      </c>
      <c r="V75" s="737">
        <v>0.84</v>
      </c>
      <c r="W75" s="116">
        <f>+D75</f>
        <v>0.84</v>
      </c>
      <c r="X75" s="738">
        <f>+Q75</f>
        <v>0.82589999999999997</v>
      </c>
      <c r="Y75" s="738">
        <f>+X75</f>
        <v>0.82589999999999997</v>
      </c>
      <c r="Z75" s="30">
        <f>(E75-X75)/(E75-V75)</f>
        <v>0.88249999999999995</v>
      </c>
      <c r="AA75" s="30">
        <f>+(E75-Y75)/(E75-W75)</f>
        <v>0.88249999999999995</v>
      </c>
      <c r="AB75" s="168">
        <f t="shared" si="25"/>
        <v>0.88249999999999995</v>
      </c>
      <c r="AC75" s="739" t="s">
        <v>376</v>
      </c>
    </row>
    <row r="76" spans="1:29" ht="45" x14ac:dyDescent="0.25">
      <c r="A76" s="4" t="s">
        <v>70</v>
      </c>
      <c r="B76" s="54" t="s">
        <v>177</v>
      </c>
      <c r="C76" s="57" t="s">
        <v>208</v>
      </c>
      <c r="D76" s="29">
        <v>8000</v>
      </c>
      <c r="E76" s="200">
        <v>1300</v>
      </c>
      <c r="F76" s="702">
        <v>1500</v>
      </c>
      <c r="G76" s="29">
        <v>0</v>
      </c>
      <c r="H76" s="123">
        <f>+G76/F76</f>
        <v>0</v>
      </c>
      <c r="I76" s="161">
        <v>2000</v>
      </c>
      <c r="J76" s="55">
        <f>+F76+I76</f>
        <v>3500</v>
      </c>
      <c r="K76" s="27">
        <v>1500</v>
      </c>
      <c r="L76" s="18">
        <f>+G76+K76</f>
        <v>1500</v>
      </c>
      <c r="M76" s="438">
        <f>+K76/I76</f>
        <v>0.75</v>
      </c>
      <c r="N76" s="442">
        <f>+L76/$K76</f>
        <v>1</v>
      </c>
      <c r="O76" s="56">
        <v>2000</v>
      </c>
      <c r="P76" s="27">
        <f>+J76+O76</f>
        <v>5500</v>
      </c>
      <c r="Q76" s="374">
        <v>1390</v>
      </c>
      <c r="R76" s="63">
        <f>+L76+Q76</f>
        <v>2890</v>
      </c>
      <c r="S76" s="30">
        <f>+Q76/O76</f>
        <v>0.69499999999999995</v>
      </c>
      <c r="T76" s="30">
        <f t="shared" si="26"/>
        <v>2.079136690647482</v>
      </c>
      <c r="U76" s="123" t="s">
        <v>115</v>
      </c>
      <c r="V76" s="717">
        <v>2500</v>
      </c>
      <c r="W76" s="29">
        <f>+P76+V76</f>
        <v>8000</v>
      </c>
      <c r="X76" s="165">
        <v>1015</v>
      </c>
      <c r="Y76" s="165">
        <f>+R76</f>
        <v>2890</v>
      </c>
      <c r="Z76" s="30">
        <f t="shared" ref="Z76" si="27">+X76/V76</f>
        <v>0.40600000000000003</v>
      </c>
      <c r="AA76" s="30">
        <f>+Y76/W76</f>
        <v>0.36125000000000002</v>
      </c>
      <c r="AB76" s="168">
        <f t="shared" si="25"/>
        <v>0.36125000000000002</v>
      </c>
      <c r="AC76" s="715" t="s">
        <v>417</v>
      </c>
    </row>
    <row r="77" spans="1:29" ht="45" x14ac:dyDescent="0.25">
      <c r="A77" s="4" t="s">
        <v>307</v>
      </c>
      <c r="B77" s="54" t="s">
        <v>178</v>
      </c>
      <c r="C77" s="57" t="s">
        <v>183</v>
      </c>
      <c r="D77" s="13">
        <v>0.85</v>
      </c>
      <c r="E77" s="205">
        <v>0</v>
      </c>
      <c r="F77" s="706">
        <v>1</v>
      </c>
      <c r="G77" s="740">
        <v>0</v>
      </c>
      <c r="H77" s="123">
        <f>+G77/F77</f>
        <v>0</v>
      </c>
      <c r="I77" s="227">
        <v>1</v>
      </c>
      <c r="J77" s="707">
        <v>1</v>
      </c>
      <c r="K77" s="13">
        <v>0.04</v>
      </c>
      <c r="L77" s="13">
        <v>0.04</v>
      </c>
      <c r="M77" s="30">
        <f>+K77/I77</f>
        <v>0.04</v>
      </c>
      <c r="N77" s="123">
        <f>+L77/$K77</f>
        <v>1</v>
      </c>
      <c r="O77" s="125">
        <v>0.8</v>
      </c>
      <c r="P77" s="31">
        <v>0.8</v>
      </c>
      <c r="Q77" s="44">
        <v>0.73399999999999999</v>
      </c>
      <c r="R77" s="44">
        <v>0.73399999999999999</v>
      </c>
      <c r="S77" s="30">
        <f>+Q77/O77</f>
        <v>0.91749999999999998</v>
      </c>
      <c r="T77" s="30">
        <f t="shared" si="26"/>
        <v>1</v>
      </c>
      <c r="U77" s="123" t="s">
        <v>115</v>
      </c>
      <c r="V77" s="716">
        <v>0.85</v>
      </c>
      <c r="W77" s="13">
        <f>+D77</f>
        <v>0.85</v>
      </c>
      <c r="X77" s="167">
        <f>+R77</f>
        <v>0.73399999999999999</v>
      </c>
      <c r="Y77" s="167">
        <f>+X77</f>
        <v>0.73399999999999999</v>
      </c>
      <c r="Z77" s="30">
        <f>+X77/V77</f>
        <v>0.86352941176470588</v>
      </c>
      <c r="AA77" s="30">
        <f>+Y77/W77</f>
        <v>0.86352941176470588</v>
      </c>
      <c r="AB77" s="168">
        <f t="shared" si="25"/>
        <v>0.86352941176470588</v>
      </c>
      <c r="AC77" s="715" t="s">
        <v>375</v>
      </c>
    </row>
    <row r="78" spans="1:29" ht="60" x14ac:dyDescent="0.25">
      <c r="A78" s="4" t="s">
        <v>73</v>
      </c>
      <c r="B78" s="54" t="s">
        <v>178</v>
      </c>
      <c r="C78" s="57" t="s">
        <v>183</v>
      </c>
      <c r="D78" s="38">
        <v>1</v>
      </c>
      <c r="E78" s="205">
        <v>0</v>
      </c>
      <c r="F78" s="713">
        <v>1</v>
      </c>
      <c r="G78" s="741">
        <v>0</v>
      </c>
      <c r="H78" s="123">
        <f>+G78/F78</f>
        <v>0</v>
      </c>
      <c r="I78" s="227">
        <v>1</v>
      </c>
      <c r="J78" s="707">
        <v>1</v>
      </c>
      <c r="K78" s="38">
        <v>7.0000000000000007E-2</v>
      </c>
      <c r="L78" s="38">
        <v>7.0000000000000007E-2</v>
      </c>
      <c r="M78" s="30">
        <f>+K78/I78</f>
        <v>7.0000000000000007E-2</v>
      </c>
      <c r="N78" s="123">
        <f>+L78/$K78</f>
        <v>1</v>
      </c>
      <c r="O78" s="127">
        <v>1</v>
      </c>
      <c r="P78" s="40">
        <v>1</v>
      </c>
      <c r="Q78" s="44">
        <v>0.04</v>
      </c>
      <c r="R78" s="44">
        <v>0.04</v>
      </c>
      <c r="S78" s="30">
        <f>+Q78/O78</f>
        <v>0.04</v>
      </c>
      <c r="T78" s="30">
        <f t="shared" si="26"/>
        <v>1</v>
      </c>
      <c r="U78" s="123" t="s">
        <v>115</v>
      </c>
      <c r="V78" s="716">
        <v>1</v>
      </c>
      <c r="W78" s="38">
        <f>+D78</f>
        <v>1</v>
      </c>
      <c r="X78" s="176">
        <f>+Q78</f>
        <v>0.04</v>
      </c>
      <c r="Y78" s="176">
        <f>+X78</f>
        <v>0.04</v>
      </c>
      <c r="Z78" s="30">
        <f>+X78/V78</f>
        <v>0.04</v>
      </c>
      <c r="AA78" s="30">
        <f>+Y78/W78</f>
        <v>0.04</v>
      </c>
      <c r="AB78" s="168">
        <f t="shared" si="25"/>
        <v>0.04</v>
      </c>
      <c r="AC78" s="715" t="s">
        <v>375</v>
      </c>
    </row>
    <row r="79" spans="1:29" ht="45" x14ac:dyDescent="0.25">
      <c r="A79" s="4" t="s">
        <v>74</v>
      </c>
      <c r="B79" s="54" t="s">
        <v>180</v>
      </c>
      <c r="C79" s="57" t="s">
        <v>183</v>
      </c>
      <c r="D79" s="38">
        <v>1</v>
      </c>
      <c r="E79" s="205" t="s">
        <v>260</v>
      </c>
      <c r="F79" s="713">
        <v>1</v>
      </c>
      <c r="G79" s="45">
        <v>0.23</v>
      </c>
      <c r="H79" s="123">
        <f t="shared" ref="H79" si="28">+G79/F79</f>
        <v>0.23</v>
      </c>
      <c r="I79" s="227">
        <v>1</v>
      </c>
      <c r="J79" s="707">
        <v>1</v>
      </c>
      <c r="K79" s="45">
        <v>0.24</v>
      </c>
      <c r="L79" s="45">
        <v>0.24</v>
      </c>
      <c r="M79" s="437">
        <f>+K79/I79</f>
        <v>0.24</v>
      </c>
      <c r="N79" s="442">
        <f>+L79/$K79</f>
        <v>1</v>
      </c>
      <c r="O79" s="127">
        <v>1</v>
      </c>
      <c r="P79" s="40">
        <v>1</v>
      </c>
      <c r="Q79" s="44">
        <f>+K79</f>
        <v>0.24</v>
      </c>
      <c r="R79" s="44">
        <f>+Q79</f>
        <v>0.24</v>
      </c>
      <c r="S79" s="30">
        <f>+Q79/O79</f>
        <v>0.24</v>
      </c>
      <c r="T79" s="30">
        <f t="shared" si="26"/>
        <v>1</v>
      </c>
      <c r="U79" s="123" t="s">
        <v>313</v>
      </c>
      <c r="V79" s="716">
        <v>1</v>
      </c>
      <c r="W79" s="38">
        <f>+D79</f>
        <v>1</v>
      </c>
      <c r="X79" s="176">
        <f>+Q79</f>
        <v>0.24</v>
      </c>
      <c r="Y79" s="176">
        <f>+X79</f>
        <v>0.24</v>
      </c>
      <c r="Z79" s="30">
        <f t="shared" ref="Z79:AA79" si="29">+X79/V79</f>
        <v>0.24</v>
      </c>
      <c r="AA79" s="30">
        <f t="shared" si="29"/>
        <v>0.24</v>
      </c>
      <c r="AB79" s="168">
        <f t="shared" si="25"/>
        <v>0.24</v>
      </c>
      <c r="AC79" s="715" t="s">
        <v>415</v>
      </c>
    </row>
  </sheetData>
  <conditionalFormatting sqref="L58">
    <cfRule type="cellIs" dxfId="144" priority="90" operator="lessThan">
      <formula>#REF!</formula>
    </cfRule>
  </conditionalFormatting>
  <conditionalFormatting sqref="G7 J11 J14:J15 J17:J18 J20 J22 J24:J27 J35 J39 J41 J43:J44 J70:J71 J73 I7:J7">
    <cfRule type="cellIs" dxfId="143" priority="117" operator="lessThan">
      <formula>#REF!</formula>
    </cfRule>
    <cfRule type="cellIs" dxfId="142" priority="155" operator="lessThan">
      <formula>#REF!</formula>
    </cfRule>
    <cfRule type="cellIs" dxfId="141" priority="156" operator="lessThan">
      <formula>#REF!</formula>
    </cfRule>
  </conditionalFormatting>
  <conditionalFormatting sqref="G18">
    <cfRule type="cellIs" dxfId="140" priority="154" operator="lessThan">
      <formula>#REF!</formula>
    </cfRule>
  </conditionalFormatting>
  <conditionalFormatting sqref="G20">
    <cfRule type="cellIs" dxfId="139" priority="116" operator="lessThan">
      <formula>#REF!</formula>
    </cfRule>
    <cfRule type="cellIs" dxfId="138" priority="153" operator="lessThan">
      <formula>#REF!</formula>
    </cfRule>
  </conditionalFormatting>
  <conditionalFormatting sqref="G25">
    <cfRule type="cellIs" dxfId="137" priority="152" operator="lessThan">
      <formula>#REF!</formula>
    </cfRule>
  </conditionalFormatting>
  <conditionalFormatting sqref="G27">
    <cfRule type="cellIs" dxfId="136" priority="151" operator="lessThan">
      <formula>#REF!</formula>
    </cfRule>
  </conditionalFormatting>
  <conditionalFormatting sqref="G40">
    <cfRule type="cellIs" dxfId="135" priority="145" operator="lessThan">
      <formula>#REF!</formula>
    </cfRule>
  </conditionalFormatting>
  <conditionalFormatting sqref="G29">
    <cfRule type="cellIs" dxfId="134" priority="150" operator="lessThan">
      <formula>#REF!</formula>
    </cfRule>
  </conditionalFormatting>
  <conditionalFormatting sqref="G45">
    <cfRule type="cellIs" dxfId="133" priority="142" operator="lessThan">
      <formula>#REF!</formula>
    </cfRule>
  </conditionalFormatting>
  <conditionalFormatting sqref="G46">
    <cfRule type="cellIs" dxfId="132" priority="141" operator="lessThan">
      <formula>#REF!</formula>
    </cfRule>
  </conditionalFormatting>
  <conditionalFormatting sqref="G33">
    <cfRule type="cellIs" dxfId="131" priority="149" operator="lessThan">
      <formula>#REF!</formula>
    </cfRule>
  </conditionalFormatting>
  <conditionalFormatting sqref="G34">
    <cfRule type="cellIs" dxfId="130" priority="148" operator="lessThan">
      <formula>#REF!</formula>
    </cfRule>
  </conditionalFormatting>
  <conditionalFormatting sqref="G35">
    <cfRule type="cellIs" dxfId="129" priority="147" operator="lessThan">
      <formula>#REF!</formula>
    </cfRule>
  </conditionalFormatting>
  <conditionalFormatting sqref="G50">
    <cfRule type="cellIs" dxfId="128" priority="139" operator="lessThan">
      <formula>#REF!</formula>
    </cfRule>
  </conditionalFormatting>
  <conditionalFormatting sqref="G51">
    <cfRule type="cellIs" dxfId="127" priority="138" operator="lessThan">
      <formula>#REF!</formula>
    </cfRule>
  </conditionalFormatting>
  <conditionalFormatting sqref="G52">
    <cfRule type="cellIs" dxfId="126" priority="137" operator="lessThan">
      <formula>#REF!</formula>
    </cfRule>
  </conditionalFormatting>
  <conditionalFormatting sqref="G39">
    <cfRule type="cellIs" dxfId="125" priority="146" operator="lessThan">
      <formula>#REF!</formula>
    </cfRule>
  </conditionalFormatting>
  <conditionalFormatting sqref="G41">
    <cfRule type="cellIs" dxfId="124" priority="144" operator="lessThan">
      <formula>#REF!</formula>
    </cfRule>
  </conditionalFormatting>
  <conditionalFormatting sqref="G56">
    <cfRule type="cellIs" dxfId="123" priority="133" operator="lessThan">
      <formula>#REF!</formula>
    </cfRule>
  </conditionalFormatting>
  <conditionalFormatting sqref="G43">
    <cfRule type="cellIs" dxfId="122" priority="143" operator="lessThan">
      <formula>#REF!</formula>
    </cfRule>
  </conditionalFormatting>
  <conditionalFormatting sqref="G47">
    <cfRule type="cellIs" dxfId="121" priority="140" operator="lessThan">
      <formula>#REF!</formula>
    </cfRule>
  </conditionalFormatting>
  <conditionalFormatting sqref="G54">
    <cfRule type="cellIs" dxfId="120" priority="135" operator="lessThan">
      <formula>#REF!</formula>
    </cfRule>
  </conditionalFormatting>
  <conditionalFormatting sqref="G53">
    <cfRule type="cellIs" dxfId="119" priority="115" operator="lessThan">
      <formula>#REF!</formula>
    </cfRule>
    <cfRule type="cellIs" dxfId="118" priority="136" operator="lessThan">
      <formula>#REF!</formula>
    </cfRule>
  </conditionalFormatting>
  <conditionalFormatting sqref="G55">
    <cfRule type="cellIs" dxfId="117" priority="134" operator="lessThan">
      <formula>#REF!</formula>
    </cfRule>
  </conditionalFormatting>
  <conditionalFormatting sqref="G57">
    <cfRule type="cellIs" dxfId="116" priority="132" operator="lessThan">
      <formula>#REF!</formula>
    </cfRule>
  </conditionalFormatting>
  <conditionalFormatting sqref="G58">
    <cfRule type="cellIs" dxfId="115" priority="131" operator="lessThan">
      <formula>#REF!</formula>
    </cfRule>
  </conditionalFormatting>
  <conditionalFormatting sqref="G59">
    <cfRule type="cellIs" dxfId="114" priority="130" operator="lessThan">
      <formula>#REF!</formula>
    </cfRule>
  </conditionalFormatting>
  <conditionalFormatting sqref="G60">
    <cfRule type="cellIs" dxfId="113" priority="129" operator="lessThan">
      <formula>#REF!</formula>
    </cfRule>
  </conditionalFormatting>
  <conditionalFormatting sqref="G61">
    <cfRule type="cellIs" dxfId="112" priority="128" operator="lessThan">
      <formula>#REF!</formula>
    </cfRule>
  </conditionalFormatting>
  <conditionalFormatting sqref="G62">
    <cfRule type="cellIs" dxfId="111" priority="127" operator="lessThan">
      <formula>#REF!</formula>
    </cfRule>
  </conditionalFormatting>
  <conditionalFormatting sqref="G63">
    <cfRule type="cellIs" dxfId="110" priority="126" operator="lessThan">
      <formula>#REF!</formula>
    </cfRule>
  </conditionalFormatting>
  <conditionalFormatting sqref="G64">
    <cfRule type="cellIs" dxfId="109" priority="125" operator="lessThan">
      <formula>#REF!</formula>
    </cfRule>
  </conditionalFormatting>
  <conditionalFormatting sqref="G65">
    <cfRule type="cellIs" dxfId="108" priority="124" operator="lessThan">
      <formula>#REF!</formula>
    </cfRule>
  </conditionalFormatting>
  <conditionalFormatting sqref="G66">
    <cfRule type="cellIs" dxfId="107" priority="123" operator="lessThan">
      <formula>#REF!</formula>
    </cfRule>
  </conditionalFormatting>
  <conditionalFormatting sqref="G70">
    <cfRule type="cellIs" dxfId="106" priority="122" operator="lessThan">
      <formula>#REF!</formula>
    </cfRule>
  </conditionalFormatting>
  <conditionalFormatting sqref="G77">
    <cfRule type="cellIs" dxfId="105" priority="120" operator="lessThan">
      <formula>#REF!</formula>
    </cfRule>
    <cfRule type="cellIs" dxfId="104" priority="121" operator="lessThan">
      <formula>#REF!</formula>
    </cfRule>
  </conditionalFormatting>
  <conditionalFormatting sqref="G78">
    <cfRule type="cellIs" dxfId="103" priority="119" operator="lessThan">
      <formula>#REF!</formula>
    </cfRule>
  </conditionalFormatting>
  <conditionalFormatting sqref="G74">
    <cfRule type="cellIs" dxfId="102" priority="118" operator="lessThan">
      <formula>#REF!</formula>
    </cfRule>
  </conditionalFormatting>
  <conditionalFormatting sqref="L53">
    <cfRule type="cellIs" dxfId="101" priority="114" operator="greaterThan">
      <formula>"S58"</formula>
    </cfRule>
  </conditionalFormatting>
  <conditionalFormatting sqref="L56">
    <cfRule type="cellIs" dxfId="100" priority="113" operator="lessThan">
      <formula>#REF!</formula>
    </cfRule>
  </conditionalFormatting>
  <conditionalFormatting sqref="L60">
    <cfRule type="cellIs" dxfId="99" priority="112" operator="lessThan">
      <formula>#REF!</formula>
    </cfRule>
  </conditionalFormatting>
  <conditionalFormatting sqref="L59">
    <cfRule type="cellIs" dxfId="98" priority="111" operator="lessThan">
      <formula>#REF!</formula>
    </cfRule>
  </conditionalFormatting>
  <conditionalFormatting sqref="L61">
    <cfRule type="cellIs" dxfId="97" priority="110" operator="greaterThan">
      <formula>#REF!</formula>
    </cfRule>
  </conditionalFormatting>
  <conditionalFormatting sqref="L62">
    <cfRule type="cellIs" dxfId="96" priority="109" operator="lessThan">
      <formula>#REF!</formula>
    </cfRule>
  </conditionalFormatting>
  <conditionalFormatting sqref="L63">
    <cfRule type="cellIs" dxfId="95" priority="108" operator="lessThan">
      <formula>#REF!</formula>
    </cfRule>
  </conditionalFormatting>
  <conditionalFormatting sqref="L64">
    <cfRule type="cellIs" dxfId="94" priority="107" operator="lessThan">
      <formula>#REF!</formula>
    </cfRule>
  </conditionalFormatting>
  <conditionalFormatting sqref="L66">
    <cfRule type="cellIs" dxfId="93" priority="106" operator="greaterThan">
      <formula>#REF!</formula>
    </cfRule>
  </conditionalFormatting>
  <conditionalFormatting sqref="L67">
    <cfRule type="cellIs" dxfId="92" priority="105" operator="lessThan">
      <formula>#REF!</formula>
    </cfRule>
  </conditionalFormatting>
  <conditionalFormatting sqref="K76">
    <cfRule type="cellIs" dxfId="91" priority="104" operator="lessThan">
      <formula>#REF!</formula>
    </cfRule>
  </conditionalFormatting>
  <conditionalFormatting sqref="G4 J4">
    <cfRule type="cellIs" dxfId="90" priority="102" operator="lessThan">
      <formula>#REF!</formula>
    </cfRule>
    <cfRule type="cellIs" dxfId="89" priority="103" operator="lessThan">
      <formula>#REF!</formula>
    </cfRule>
  </conditionalFormatting>
  <conditionalFormatting sqref="L70">
    <cfRule type="cellIs" dxfId="88" priority="101" operator="lessThan">
      <formula>#REF!</formula>
    </cfRule>
  </conditionalFormatting>
  <conditionalFormatting sqref="K45:L45 K46:K67">
    <cfRule type="cellIs" dxfId="87" priority="100" operator="lessThan">
      <formula>#REF!</formula>
    </cfRule>
  </conditionalFormatting>
  <conditionalFormatting sqref="L46">
    <cfRule type="cellIs" dxfId="86" priority="99" operator="lessThan">
      <formula>#REF!</formula>
    </cfRule>
  </conditionalFormatting>
  <conditionalFormatting sqref="Q46">
    <cfRule type="cellIs" dxfId="85" priority="98" operator="lessThan">
      <formula>#REF!</formula>
    </cfRule>
  </conditionalFormatting>
  <conditionalFormatting sqref="L47">
    <cfRule type="cellIs" dxfId="84" priority="97" operator="lessThan">
      <formula>#REF!</formula>
    </cfRule>
  </conditionalFormatting>
  <conditionalFormatting sqref="D49">
    <cfRule type="cellIs" dxfId="83" priority="96" operator="lessThan">
      <formula>#REF!</formula>
    </cfRule>
  </conditionalFormatting>
  <conditionalFormatting sqref="G49">
    <cfRule type="cellIs" dxfId="82" priority="95" operator="lessThan">
      <formula>#REF!</formula>
    </cfRule>
  </conditionalFormatting>
  <conditionalFormatting sqref="L51">
    <cfRule type="cellIs" dxfId="81" priority="94" operator="lessThan">
      <formula>#REF!</formula>
    </cfRule>
  </conditionalFormatting>
  <conditionalFormatting sqref="L54">
    <cfRule type="cellIs" dxfId="80" priority="93" operator="lessThan">
      <formula>#REF!</formula>
    </cfRule>
  </conditionalFormatting>
  <conditionalFormatting sqref="L55">
    <cfRule type="cellIs" dxfId="79" priority="92" operator="lessThan">
      <formula>#REF!</formula>
    </cfRule>
  </conditionalFormatting>
  <conditionalFormatting sqref="L57">
    <cfRule type="cellIs" dxfId="78" priority="91" operator="lessThan">
      <formula>#REF!</formula>
    </cfRule>
  </conditionalFormatting>
  <conditionalFormatting sqref="Q70">
    <cfRule type="cellIs" dxfId="77" priority="89" operator="lessThan">
      <formula>#REF!</formula>
    </cfRule>
  </conditionalFormatting>
  <conditionalFormatting sqref="M2:N79">
    <cfRule type="iconSet" priority="88">
      <iconSet iconSet="3TrafficLights2">
        <cfvo type="percent" val="0"/>
        <cfvo type="num" val="0.98"/>
        <cfvo type="num" val="1"/>
      </iconSet>
    </cfRule>
  </conditionalFormatting>
  <conditionalFormatting sqref="T5:U5 T10:U10 T26:U26 T35:U35 S54:U56 T53:U53 T57:U57 S2:U4 S36:U52 S58:U79 S6:U9 S11:U25 S27:U34">
    <cfRule type="iconSet" priority="87">
      <iconSet iconSet="3TrafficLights2">
        <cfvo type="percent" val="0"/>
        <cfvo type="num" val="0.98"/>
        <cfvo type="num" val="1"/>
      </iconSet>
    </cfRule>
  </conditionalFormatting>
  <conditionalFormatting sqref="R46">
    <cfRule type="cellIs" dxfId="76" priority="86" operator="lessThan">
      <formula>#REF!</formula>
    </cfRule>
  </conditionalFormatting>
  <conditionalFormatting sqref="H2:H79">
    <cfRule type="iconSet" priority="157">
      <iconSet iconSet="3TrafficLights2">
        <cfvo type="percent" val="0"/>
        <cfvo type="num" val="0.98"/>
        <cfvo type="num" val="1"/>
      </iconSet>
    </cfRule>
  </conditionalFormatting>
  <conditionalFormatting sqref="W49:Y49">
    <cfRule type="cellIs" dxfId="75" priority="85" operator="lessThan">
      <formula>#REF!</formula>
    </cfRule>
  </conditionalFormatting>
  <conditionalFormatting sqref="AC49">
    <cfRule type="cellIs" dxfId="74" priority="84" operator="lessThan">
      <formula>#REF!</formula>
    </cfRule>
  </conditionalFormatting>
  <conditionalFormatting sqref="Z27:AA27">
    <cfRule type="iconSet" priority="83">
      <iconSet iconSet="3TrafficLights2">
        <cfvo type="percent" val="0"/>
        <cfvo type="num" val="0.98"/>
        <cfvo type="num" val="1"/>
      </iconSet>
    </cfRule>
  </conditionalFormatting>
  <conditionalFormatting sqref="Z58:AA58">
    <cfRule type="iconSet" priority="82">
      <iconSet iconSet="3TrafficLights2">
        <cfvo type="percent" val="0"/>
        <cfvo type="num" val="0.98"/>
        <cfvo type="num" val="1"/>
      </iconSet>
    </cfRule>
  </conditionalFormatting>
  <conditionalFormatting sqref="Z76:AA76 Z65:AA65 Z7:AA7 Z74:AA74">
    <cfRule type="iconSet" priority="81">
      <iconSet iconSet="3TrafficLights2">
        <cfvo type="percent" val="0"/>
        <cfvo type="num" val="0.98"/>
        <cfvo type="num" val="1"/>
      </iconSet>
    </cfRule>
  </conditionalFormatting>
  <conditionalFormatting sqref="S5 S10 S26 S35 S53 S57">
    <cfRule type="iconSet" priority="80">
      <iconSet iconSet="3TrafficLights2">
        <cfvo type="percent" val="0"/>
        <cfvo type="num" val="0.98"/>
        <cfvo type="num" val="1"/>
      </iconSet>
    </cfRule>
  </conditionalFormatting>
  <conditionalFormatting sqref="Z5 Z10 Z26 Z35 Z53 Z57">
    <cfRule type="iconSet" priority="79">
      <iconSet iconSet="3TrafficLights2">
        <cfvo type="percent" val="0"/>
        <cfvo type="num" val="0.98"/>
        <cfvo type="num" val="1"/>
      </iconSet>
    </cfRule>
  </conditionalFormatting>
  <conditionalFormatting sqref="AA5 AA10 AA26 AA35 AA53 AA57">
    <cfRule type="iconSet" priority="78">
      <iconSet iconSet="3TrafficLights2">
        <cfvo type="percent" val="0"/>
        <cfvo type="num" val="0.98"/>
        <cfvo type="num" val="1"/>
      </iconSet>
    </cfRule>
  </conditionalFormatting>
  <conditionalFormatting sqref="G44">
    <cfRule type="cellIs" dxfId="73" priority="77" operator="lessThan">
      <formula>#REF!</formula>
    </cfRule>
  </conditionalFormatting>
  <conditionalFormatting sqref="Z31">
    <cfRule type="iconSet" priority="76">
      <iconSet iconSet="3TrafficLights2">
        <cfvo type="percent" val="0"/>
        <cfvo type="num" val="0.98"/>
        <cfvo type="num" val="1"/>
      </iconSet>
    </cfRule>
  </conditionalFormatting>
  <conditionalFormatting sqref="AA31">
    <cfRule type="iconSet" priority="75">
      <iconSet iconSet="3TrafficLights2">
        <cfvo type="percent" val="0"/>
        <cfvo type="num" val="0.98"/>
        <cfvo type="num" val="1"/>
      </iconSet>
    </cfRule>
  </conditionalFormatting>
  <conditionalFormatting sqref="Z33:AA33">
    <cfRule type="iconSet" priority="74">
      <iconSet iconSet="3TrafficLights2">
        <cfvo type="percent" val="0"/>
        <cfvo type="num" val="0.98"/>
        <cfvo type="num" val="1"/>
      </iconSet>
    </cfRule>
  </conditionalFormatting>
  <conditionalFormatting sqref="Z34:AA34">
    <cfRule type="iconSet" priority="73">
      <iconSet iconSet="3TrafficLights2">
        <cfvo type="percent" val="0"/>
        <cfvo type="num" val="0.98"/>
        <cfvo type="num" val="1"/>
      </iconSet>
    </cfRule>
  </conditionalFormatting>
  <conditionalFormatting sqref="Z2">
    <cfRule type="iconSet" priority="72">
      <iconSet iconSet="3TrafficLights2">
        <cfvo type="percent" val="0"/>
        <cfvo type="num" val="0.98"/>
        <cfvo type="num" val="1"/>
      </iconSet>
    </cfRule>
  </conditionalFormatting>
  <conditionalFormatting sqref="AA2">
    <cfRule type="iconSet" priority="71">
      <iconSet iconSet="3TrafficLights2">
        <cfvo type="percent" val="0"/>
        <cfvo type="num" val="0.98"/>
        <cfvo type="num" val="1"/>
      </iconSet>
    </cfRule>
  </conditionalFormatting>
  <conditionalFormatting sqref="Z12:Z13 Z48">
    <cfRule type="iconSet" priority="70">
      <iconSet iconSet="3TrafficLights2">
        <cfvo type="percent" val="0"/>
        <cfvo type="num" val="0.98"/>
        <cfvo type="num" val="1"/>
      </iconSet>
    </cfRule>
  </conditionalFormatting>
  <conditionalFormatting sqref="AA12:AA13 AA48">
    <cfRule type="iconSet" priority="69">
      <iconSet iconSet="3TrafficLights2">
        <cfvo type="percent" val="0"/>
        <cfvo type="num" val="0.98"/>
        <cfvo type="num" val="1"/>
      </iconSet>
    </cfRule>
  </conditionalFormatting>
  <conditionalFormatting sqref="Z70">
    <cfRule type="iconSet" priority="68">
      <iconSet iconSet="3TrafficLights2">
        <cfvo type="percent" val="0"/>
        <cfvo type="num" val="0.98"/>
        <cfvo type="num" val="1"/>
      </iconSet>
    </cfRule>
  </conditionalFormatting>
  <conditionalFormatting sqref="AA70">
    <cfRule type="iconSet" priority="67">
      <iconSet iconSet="3TrafficLights2">
        <cfvo type="percent" val="0"/>
        <cfvo type="num" val="0.98"/>
        <cfvo type="num" val="1"/>
      </iconSet>
    </cfRule>
  </conditionalFormatting>
  <conditionalFormatting sqref="Z11:AA11 Z49:AA51 Z56:AA56">
    <cfRule type="iconSet" priority="66">
      <iconSet iconSet="3TrafficLights2">
        <cfvo type="percent" val="0"/>
        <cfvo type="num" val="0.98"/>
        <cfvo type="num" val="1"/>
      </iconSet>
    </cfRule>
  </conditionalFormatting>
  <conditionalFormatting sqref="Z60:AA60">
    <cfRule type="iconSet" priority="65">
      <iconSet iconSet="3TrafficLights2">
        <cfvo type="percent" val="0"/>
        <cfvo type="num" val="0.98"/>
        <cfvo type="num" val="1"/>
      </iconSet>
    </cfRule>
  </conditionalFormatting>
  <conditionalFormatting sqref="Z46:AA46">
    <cfRule type="iconSet" priority="64">
      <iconSet iconSet="3TrafficLights2">
        <cfvo type="percent" val="0"/>
        <cfvo type="num" val="0.98"/>
        <cfvo type="num" val="1"/>
      </iconSet>
    </cfRule>
  </conditionalFormatting>
  <conditionalFormatting sqref="Z41">
    <cfRule type="iconSet" priority="63">
      <iconSet iconSet="3TrafficLights2">
        <cfvo type="percent" val="0"/>
        <cfvo type="num" val="0.98"/>
        <cfvo type="num" val="1"/>
      </iconSet>
    </cfRule>
  </conditionalFormatting>
  <conditionalFormatting sqref="AA41">
    <cfRule type="iconSet" priority="62">
      <iconSet iconSet="3TrafficLights2">
        <cfvo type="percent" val="0"/>
        <cfvo type="num" val="0.98"/>
        <cfvo type="num" val="1"/>
      </iconSet>
    </cfRule>
  </conditionalFormatting>
  <conditionalFormatting sqref="Z71:AA71">
    <cfRule type="iconSet" priority="61">
      <iconSet iconSet="3TrafficLights2">
        <cfvo type="percent" val="0"/>
        <cfvo type="num" val="0.98"/>
        <cfvo type="num" val="1"/>
      </iconSet>
    </cfRule>
  </conditionalFormatting>
  <conditionalFormatting sqref="Z66">
    <cfRule type="iconSet" priority="60">
      <iconSet iconSet="3TrafficLights2">
        <cfvo type="percent" val="0"/>
        <cfvo type="num" val="0.98"/>
        <cfvo type="num" val="1"/>
      </iconSet>
    </cfRule>
  </conditionalFormatting>
  <conditionalFormatting sqref="AA66">
    <cfRule type="iconSet" priority="59">
      <iconSet iconSet="3TrafficLights2">
        <cfvo type="percent" val="0"/>
        <cfvo type="num" val="0.98"/>
        <cfvo type="num" val="1"/>
      </iconSet>
    </cfRule>
  </conditionalFormatting>
  <conditionalFormatting sqref="Z18:AA18 Z22:AA22 Z25:AA25 Z15:AA16 Z28:AA28 Z40:AA40 Z52:AA52 Z55:AA55 Z59:AA59 Z62:AA63">
    <cfRule type="iconSet" priority="58">
      <iconSet iconSet="3TrafficLights2">
        <cfvo type="percent" val="0"/>
        <cfvo type="num" val="0.98"/>
        <cfvo type="num" val="1"/>
      </iconSet>
    </cfRule>
  </conditionalFormatting>
  <conditionalFormatting sqref="Z67:AA67">
    <cfRule type="iconSet" priority="57">
      <iconSet iconSet="3TrafficLights2">
        <cfvo type="percent" val="0"/>
        <cfvo type="num" val="0.98"/>
        <cfvo type="num" val="1"/>
      </iconSet>
    </cfRule>
  </conditionalFormatting>
  <conditionalFormatting sqref="Z38:AA38">
    <cfRule type="iconSet" priority="56">
      <iconSet iconSet="3TrafficLights2">
        <cfvo type="percent" val="0"/>
        <cfvo type="num" val="0.98"/>
        <cfvo type="num" val="1"/>
      </iconSet>
    </cfRule>
  </conditionalFormatting>
  <conditionalFormatting sqref="Z39:AA39">
    <cfRule type="iconSet" priority="55">
      <iconSet iconSet="3TrafficLights2">
        <cfvo type="percent" val="0"/>
        <cfvo type="num" val="0.98"/>
        <cfvo type="num" val="1"/>
      </iconSet>
    </cfRule>
  </conditionalFormatting>
  <conditionalFormatting sqref="Z24:AA24">
    <cfRule type="iconSet" priority="54">
      <iconSet iconSet="3TrafficLights2">
        <cfvo type="percent" val="0"/>
        <cfvo type="num" val="0.98"/>
        <cfvo type="num" val="1"/>
      </iconSet>
    </cfRule>
  </conditionalFormatting>
  <conditionalFormatting sqref="Z14:AA14">
    <cfRule type="iconSet" priority="53">
      <iconSet iconSet="3TrafficLights2">
        <cfvo type="percent" val="0"/>
        <cfvo type="num" val="0.98"/>
        <cfvo type="num" val="1"/>
      </iconSet>
    </cfRule>
  </conditionalFormatting>
  <conditionalFormatting sqref="Z4:AA4">
    <cfRule type="iconSet" priority="52">
      <iconSet iconSet="3TrafficLights2">
        <cfvo type="percent" val="0"/>
        <cfvo type="num" val="0.98"/>
        <cfvo type="num" val="1"/>
      </iconSet>
    </cfRule>
  </conditionalFormatting>
  <conditionalFormatting sqref="Z6">
    <cfRule type="iconSet" priority="51">
      <iconSet iconSet="3TrafficLights2">
        <cfvo type="percent" val="0"/>
        <cfvo type="num" val="0.98"/>
        <cfvo type="num" val="1"/>
      </iconSet>
    </cfRule>
  </conditionalFormatting>
  <conditionalFormatting sqref="AA6">
    <cfRule type="iconSet" priority="50">
      <iconSet iconSet="3TrafficLights2">
        <cfvo type="percent" val="0"/>
        <cfvo type="num" val="0.98"/>
        <cfvo type="num" val="1"/>
      </iconSet>
    </cfRule>
  </conditionalFormatting>
  <conditionalFormatting sqref="Z8:AA9">
    <cfRule type="iconSet" priority="49">
      <iconSet iconSet="3TrafficLights2">
        <cfvo type="percent" val="0"/>
        <cfvo type="num" val="0.98"/>
        <cfvo type="num" val="1"/>
      </iconSet>
    </cfRule>
  </conditionalFormatting>
  <conditionalFormatting sqref="Z3">
    <cfRule type="iconSet" priority="48">
      <iconSet iconSet="3TrafficLights2">
        <cfvo type="percent" val="0"/>
        <cfvo type="num" val="0.98"/>
        <cfvo type="num" val="1"/>
      </iconSet>
    </cfRule>
  </conditionalFormatting>
  <conditionalFormatting sqref="AA3">
    <cfRule type="iconSet" priority="47">
      <iconSet iconSet="3TrafficLights2">
        <cfvo type="percent" val="0"/>
        <cfvo type="num" val="0.98"/>
        <cfvo type="num" val="1"/>
      </iconSet>
    </cfRule>
  </conditionalFormatting>
  <conditionalFormatting sqref="Z17:AA17">
    <cfRule type="iconSet" priority="46">
      <iconSet iconSet="3TrafficLights2">
        <cfvo type="percent" val="0"/>
        <cfvo type="num" val="0.98"/>
        <cfvo type="num" val="1"/>
      </iconSet>
    </cfRule>
  </conditionalFormatting>
  <conditionalFormatting sqref="Z19">
    <cfRule type="iconSet" priority="45">
      <iconSet iconSet="3TrafficLights2">
        <cfvo type="percent" val="0"/>
        <cfvo type="num" val="0.98"/>
        <cfvo type="num" val="1"/>
      </iconSet>
    </cfRule>
  </conditionalFormatting>
  <conditionalFormatting sqref="AA19">
    <cfRule type="iconSet" priority="44">
      <iconSet iconSet="3TrafficLights2">
        <cfvo type="percent" val="0"/>
        <cfvo type="num" val="0.98"/>
        <cfvo type="num" val="1"/>
      </iconSet>
    </cfRule>
  </conditionalFormatting>
  <conditionalFormatting sqref="Z20">
    <cfRule type="iconSet" priority="43">
      <iconSet iconSet="3TrafficLights2">
        <cfvo type="percent" val="0"/>
        <cfvo type="num" val="0.98"/>
        <cfvo type="num" val="1"/>
      </iconSet>
    </cfRule>
  </conditionalFormatting>
  <conditionalFormatting sqref="AA20">
    <cfRule type="iconSet" priority="42">
      <iconSet iconSet="3TrafficLights2">
        <cfvo type="percent" val="0"/>
        <cfvo type="num" val="0.98"/>
        <cfvo type="num" val="1"/>
      </iconSet>
    </cfRule>
  </conditionalFormatting>
  <conditionalFormatting sqref="Z21">
    <cfRule type="iconSet" priority="41">
      <iconSet iconSet="3TrafficLights2">
        <cfvo type="percent" val="0"/>
        <cfvo type="num" val="0.98"/>
        <cfvo type="num" val="1"/>
      </iconSet>
    </cfRule>
  </conditionalFormatting>
  <conditionalFormatting sqref="AA21">
    <cfRule type="iconSet" priority="40">
      <iconSet iconSet="3TrafficLights2">
        <cfvo type="percent" val="0"/>
        <cfvo type="num" val="0.98"/>
        <cfvo type="num" val="1"/>
      </iconSet>
    </cfRule>
  </conditionalFormatting>
  <conditionalFormatting sqref="Z23">
    <cfRule type="iconSet" priority="39">
      <iconSet iconSet="3TrafficLights2">
        <cfvo type="percent" val="0"/>
        <cfvo type="num" val="0.98"/>
        <cfvo type="num" val="1"/>
      </iconSet>
    </cfRule>
  </conditionalFormatting>
  <conditionalFormatting sqref="AA23">
    <cfRule type="iconSet" priority="38">
      <iconSet iconSet="3TrafficLights2">
        <cfvo type="percent" val="0"/>
        <cfvo type="num" val="0.98"/>
        <cfvo type="num" val="1"/>
      </iconSet>
    </cfRule>
  </conditionalFormatting>
  <conditionalFormatting sqref="Z30">
    <cfRule type="iconSet" priority="37">
      <iconSet iconSet="3TrafficLights2">
        <cfvo type="percent" val="0"/>
        <cfvo type="num" val="0.98"/>
        <cfvo type="num" val="1"/>
      </iconSet>
    </cfRule>
  </conditionalFormatting>
  <conditionalFormatting sqref="AA30">
    <cfRule type="iconSet" priority="36">
      <iconSet iconSet="3TrafficLights2">
        <cfvo type="percent" val="0"/>
        <cfvo type="num" val="0.98"/>
        <cfvo type="num" val="1"/>
      </iconSet>
    </cfRule>
  </conditionalFormatting>
  <conditionalFormatting sqref="Z32">
    <cfRule type="iconSet" priority="35">
      <iconSet iconSet="3TrafficLights2">
        <cfvo type="percent" val="0"/>
        <cfvo type="num" val="0.98"/>
        <cfvo type="num" val="1"/>
      </iconSet>
    </cfRule>
  </conditionalFormatting>
  <conditionalFormatting sqref="AA32">
    <cfRule type="iconSet" priority="34">
      <iconSet iconSet="3TrafficLights2">
        <cfvo type="percent" val="0"/>
        <cfvo type="num" val="0.98"/>
        <cfvo type="num" val="1"/>
      </iconSet>
    </cfRule>
  </conditionalFormatting>
  <conditionalFormatting sqref="Z36">
    <cfRule type="iconSet" priority="33">
      <iconSet iconSet="3TrafficLights2">
        <cfvo type="percent" val="0"/>
        <cfvo type="num" val="0.98"/>
        <cfvo type="num" val="1"/>
      </iconSet>
    </cfRule>
  </conditionalFormatting>
  <conditionalFormatting sqref="AA36">
    <cfRule type="iconSet" priority="32">
      <iconSet iconSet="3TrafficLights2">
        <cfvo type="percent" val="0"/>
        <cfvo type="num" val="0.98"/>
        <cfvo type="num" val="1"/>
      </iconSet>
    </cfRule>
  </conditionalFormatting>
  <conditionalFormatting sqref="Z37">
    <cfRule type="iconSet" priority="31">
      <iconSet iconSet="3TrafficLights2">
        <cfvo type="percent" val="0"/>
        <cfvo type="num" val="0.98"/>
        <cfvo type="num" val="1"/>
      </iconSet>
    </cfRule>
  </conditionalFormatting>
  <conditionalFormatting sqref="AA37">
    <cfRule type="iconSet" priority="30">
      <iconSet iconSet="3TrafficLights2">
        <cfvo type="percent" val="0"/>
        <cfvo type="num" val="0.98"/>
        <cfvo type="num" val="1"/>
      </iconSet>
    </cfRule>
  </conditionalFormatting>
  <conditionalFormatting sqref="Z42">
    <cfRule type="iconSet" priority="29">
      <iconSet iconSet="3TrafficLights2">
        <cfvo type="percent" val="0"/>
        <cfvo type="num" val="0.98"/>
        <cfvo type="num" val="1"/>
      </iconSet>
    </cfRule>
  </conditionalFormatting>
  <conditionalFormatting sqref="AA42">
    <cfRule type="iconSet" priority="28">
      <iconSet iconSet="3TrafficLights2">
        <cfvo type="percent" val="0"/>
        <cfvo type="num" val="0.98"/>
        <cfvo type="num" val="1"/>
      </iconSet>
    </cfRule>
  </conditionalFormatting>
  <conditionalFormatting sqref="Z43">
    <cfRule type="iconSet" priority="27">
      <iconSet iconSet="3TrafficLights2">
        <cfvo type="percent" val="0"/>
        <cfvo type="num" val="0.98"/>
        <cfvo type="num" val="1"/>
      </iconSet>
    </cfRule>
  </conditionalFormatting>
  <conditionalFormatting sqref="AA43">
    <cfRule type="iconSet" priority="26">
      <iconSet iconSet="3TrafficLights2">
        <cfvo type="percent" val="0"/>
        <cfvo type="num" val="0.98"/>
        <cfvo type="num" val="1"/>
      </iconSet>
    </cfRule>
  </conditionalFormatting>
  <conditionalFormatting sqref="Z44">
    <cfRule type="iconSet" priority="25">
      <iconSet iconSet="3TrafficLights2">
        <cfvo type="percent" val="0"/>
        <cfvo type="num" val="0.98"/>
        <cfvo type="num" val="1"/>
      </iconSet>
    </cfRule>
  </conditionalFormatting>
  <conditionalFormatting sqref="AA44">
    <cfRule type="iconSet" priority="24">
      <iconSet iconSet="3TrafficLights2">
        <cfvo type="percent" val="0"/>
        <cfvo type="num" val="0.98"/>
        <cfvo type="num" val="1"/>
      </iconSet>
    </cfRule>
  </conditionalFormatting>
  <conditionalFormatting sqref="Z45">
    <cfRule type="iconSet" priority="23">
      <iconSet iconSet="3TrafficLights2">
        <cfvo type="percent" val="0"/>
        <cfvo type="num" val="0.98"/>
        <cfvo type="num" val="1"/>
      </iconSet>
    </cfRule>
  </conditionalFormatting>
  <conditionalFormatting sqref="AA45">
    <cfRule type="iconSet" priority="22">
      <iconSet iconSet="3TrafficLights2">
        <cfvo type="percent" val="0"/>
        <cfvo type="num" val="0.98"/>
        <cfvo type="num" val="1"/>
      </iconSet>
    </cfRule>
  </conditionalFormatting>
  <conditionalFormatting sqref="Z47">
    <cfRule type="iconSet" priority="21">
      <iconSet iconSet="3TrafficLights2">
        <cfvo type="percent" val="0"/>
        <cfvo type="num" val="0.98"/>
        <cfvo type="num" val="1"/>
      </iconSet>
    </cfRule>
  </conditionalFormatting>
  <conditionalFormatting sqref="AA47">
    <cfRule type="iconSet" priority="20">
      <iconSet iconSet="3TrafficLights2">
        <cfvo type="percent" val="0"/>
        <cfvo type="num" val="0.98"/>
        <cfvo type="num" val="1"/>
      </iconSet>
    </cfRule>
  </conditionalFormatting>
  <conditionalFormatting sqref="Z54">
    <cfRule type="iconSet" priority="19">
      <iconSet iconSet="3TrafficLights2">
        <cfvo type="percent" val="0"/>
        <cfvo type="num" val="0.98"/>
        <cfvo type="num" val="1"/>
      </iconSet>
    </cfRule>
  </conditionalFormatting>
  <conditionalFormatting sqref="AA54">
    <cfRule type="iconSet" priority="18">
      <iconSet iconSet="3TrafficLights2">
        <cfvo type="percent" val="0"/>
        <cfvo type="num" val="0.98"/>
        <cfvo type="num" val="1"/>
      </iconSet>
    </cfRule>
  </conditionalFormatting>
  <conditionalFormatting sqref="Z61">
    <cfRule type="iconSet" priority="17">
      <iconSet iconSet="3TrafficLights2">
        <cfvo type="percent" val="0"/>
        <cfvo type="num" val="0.98"/>
        <cfvo type="num" val="1"/>
      </iconSet>
    </cfRule>
  </conditionalFormatting>
  <conditionalFormatting sqref="AA61">
    <cfRule type="iconSet" priority="16">
      <iconSet iconSet="3TrafficLights2">
        <cfvo type="percent" val="0"/>
        <cfvo type="num" val="0.98"/>
        <cfvo type="num" val="1"/>
      </iconSet>
    </cfRule>
  </conditionalFormatting>
  <conditionalFormatting sqref="Z64">
    <cfRule type="iconSet" priority="15">
      <iconSet iconSet="3TrafficLights2">
        <cfvo type="percent" val="0"/>
        <cfvo type="num" val="0.98"/>
        <cfvo type="num" val="1"/>
      </iconSet>
    </cfRule>
  </conditionalFormatting>
  <conditionalFormatting sqref="AA64">
    <cfRule type="iconSet" priority="14">
      <iconSet iconSet="3TrafficLights2">
        <cfvo type="percent" val="0"/>
        <cfvo type="num" val="0.98"/>
        <cfvo type="num" val="1"/>
      </iconSet>
    </cfRule>
  </conditionalFormatting>
  <conditionalFormatting sqref="Z68">
    <cfRule type="iconSet" priority="13">
      <iconSet iconSet="3TrafficLights2">
        <cfvo type="percent" val="0"/>
        <cfvo type="num" val="0.98"/>
        <cfvo type="num" val="1"/>
      </iconSet>
    </cfRule>
  </conditionalFormatting>
  <conditionalFormatting sqref="AA68">
    <cfRule type="iconSet" priority="12">
      <iconSet iconSet="3TrafficLights2">
        <cfvo type="percent" val="0"/>
        <cfvo type="num" val="0.98"/>
        <cfvo type="num" val="1"/>
      </iconSet>
    </cfRule>
  </conditionalFormatting>
  <conditionalFormatting sqref="Z69">
    <cfRule type="iconSet" priority="11">
      <iconSet iconSet="3TrafficLights2">
        <cfvo type="percent" val="0"/>
        <cfvo type="num" val="0.98"/>
        <cfvo type="num" val="1"/>
      </iconSet>
    </cfRule>
  </conditionalFormatting>
  <conditionalFormatting sqref="AA69">
    <cfRule type="iconSet" priority="10">
      <iconSet iconSet="3TrafficLights2">
        <cfvo type="percent" val="0"/>
        <cfvo type="num" val="0.98"/>
        <cfvo type="num" val="1"/>
      </iconSet>
    </cfRule>
  </conditionalFormatting>
  <conditionalFormatting sqref="Z77:Z79">
    <cfRule type="iconSet" priority="9">
      <iconSet iconSet="3TrafficLights2">
        <cfvo type="percent" val="0"/>
        <cfvo type="num" val="0.98"/>
        <cfvo type="num" val="1"/>
      </iconSet>
    </cfRule>
  </conditionalFormatting>
  <conditionalFormatting sqref="AA77:AA79">
    <cfRule type="iconSet" priority="8">
      <iconSet iconSet="3TrafficLights2">
        <cfvo type="percent" val="0"/>
        <cfvo type="num" val="0.98"/>
        <cfvo type="num" val="1"/>
      </iconSet>
    </cfRule>
  </conditionalFormatting>
  <conditionalFormatting sqref="Z72">
    <cfRule type="iconSet" priority="7">
      <iconSet iconSet="3TrafficLights2">
        <cfvo type="percent" val="0"/>
        <cfvo type="num" val="0.98"/>
        <cfvo type="num" val="1"/>
      </iconSet>
    </cfRule>
  </conditionalFormatting>
  <conditionalFormatting sqref="AA72">
    <cfRule type="iconSet" priority="6">
      <iconSet iconSet="3TrafficLights2">
        <cfvo type="percent" val="0"/>
        <cfvo type="num" val="0.98"/>
        <cfvo type="num" val="1"/>
      </iconSet>
    </cfRule>
  </conditionalFormatting>
  <conditionalFormatting sqref="Z73">
    <cfRule type="iconSet" priority="5">
      <iconSet iconSet="3TrafficLights2">
        <cfvo type="percent" val="0"/>
        <cfvo type="num" val="0.98"/>
        <cfvo type="num" val="1"/>
      </iconSet>
    </cfRule>
  </conditionalFormatting>
  <conditionalFormatting sqref="AA73">
    <cfRule type="iconSet" priority="4">
      <iconSet iconSet="3TrafficLights2">
        <cfvo type="percent" val="0"/>
        <cfvo type="num" val="0.98"/>
        <cfvo type="num" val="1"/>
      </iconSet>
    </cfRule>
  </conditionalFormatting>
  <conditionalFormatting sqref="Z75">
    <cfRule type="iconSet" priority="3">
      <iconSet iconSet="3TrafficLights2">
        <cfvo type="percent" val="0"/>
        <cfvo type="num" val="0.98"/>
        <cfvo type="num" val="1"/>
      </iconSet>
    </cfRule>
  </conditionalFormatting>
  <conditionalFormatting sqref="AA75">
    <cfRule type="iconSet" priority="2">
      <iconSet iconSet="3TrafficLights2">
        <cfvo type="percent" val="0"/>
        <cfvo type="num" val="0.98"/>
        <cfvo type="num" val="1"/>
      </iconSet>
    </cfRule>
  </conditionalFormatting>
  <conditionalFormatting sqref="Z29:AA29">
    <cfRule type="iconSet" priority="1">
      <iconSet iconSet="3TrafficLights2">
        <cfvo type="percent" val="0"/>
        <cfvo type="num" val="0.98"/>
        <cfvo type="num" val="1"/>
      </iconSet>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AO87"/>
  <sheetViews>
    <sheetView zoomScaleNormal="100" workbookViewId="0">
      <pane ySplit="4" topLeftCell="A50" activePane="bottomLeft" state="frozen"/>
      <selection activeCell="A3" sqref="A3"/>
      <selection pane="bottomLeft" activeCell="E61" sqref="E61"/>
    </sheetView>
  </sheetViews>
  <sheetFormatPr baseColWidth="10" defaultColWidth="8.7109375" defaultRowHeight="15" x14ac:dyDescent="0.25"/>
  <cols>
    <col min="1" max="1" width="12" customWidth="1"/>
    <col min="2" max="2" width="6" customWidth="1"/>
    <col min="3" max="3" width="6.28515625" customWidth="1"/>
    <col min="4" max="4" width="6.140625" customWidth="1"/>
    <col min="5" max="5" width="18.5703125" customWidth="1"/>
    <col min="6" max="6" width="6.5703125" customWidth="1"/>
    <col min="7" max="9" width="8.7109375" customWidth="1"/>
    <col min="10" max="11" width="8.7109375" style="5"/>
    <col min="12" max="13" width="8.7109375" style="5" customWidth="1"/>
    <col min="14" max="14" width="12.140625" style="5" customWidth="1"/>
    <col min="15" max="15" width="8.7109375" style="5" customWidth="1"/>
    <col min="16" max="16" width="8.7109375" style="235" customWidth="1"/>
    <col min="17" max="20" width="8.7109375" style="5" customWidth="1"/>
    <col min="21" max="22" width="8.7109375" style="5"/>
    <col min="23" max="23" width="10.7109375" style="5" customWidth="1"/>
    <col min="24" max="24" width="10.42578125" style="5" customWidth="1"/>
    <col min="25" max="25" width="12.7109375" style="5" bestFit="1" customWidth="1"/>
    <col min="26" max="26" width="13.140625" style="5" bestFit="1" customWidth="1"/>
    <col min="27" max="27" width="8.7109375" style="5"/>
    <col min="36" max="36" width="16.28515625" customWidth="1"/>
    <col min="38" max="38" width="56" customWidth="1"/>
  </cols>
  <sheetData>
    <row r="1" spans="1:39" ht="32.25" hidden="1" thickBot="1" x14ac:dyDescent="0.3">
      <c r="A1" s="1" t="s">
        <v>0</v>
      </c>
    </row>
    <row r="2" spans="1:39" ht="32.25" hidden="1" thickBot="1" x14ac:dyDescent="0.3">
      <c r="I2" s="1"/>
      <c r="J2" s="6"/>
      <c r="K2" s="6"/>
      <c r="L2" s="6"/>
      <c r="M2" s="7"/>
      <c r="N2" s="7"/>
      <c r="O2" s="7"/>
      <c r="P2" s="6"/>
      <c r="Q2" s="8"/>
      <c r="R2" s="8"/>
      <c r="S2" s="8"/>
      <c r="T2" s="8"/>
      <c r="U2" s="8"/>
      <c r="V2" s="8"/>
      <c r="W2" s="8"/>
      <c r="X2" s="149"/>
      <c r="Y2" s="8"/>
      <c r="Z2" s="8"/>
      <c r="AA2" s="8"/>
    </row>
    <row r="3" spans="1:39" ht="15" customHeight="1" thickBot="1" x14ac:dyDescent="0.3">
      <c r="E3" s="1"/>
      <c r="F3" s="1"/>
      <c r="G3" s="1"/>
      <c r="H3" s="1"/>
      <c r="I3" s="1"/>
      <c r="J3" s="6"/>
      <c r="K3" s="6"/>
      <c r="L3" s="802" t="s">
        <v>104</v>
      </c>
      <c r="M3" s="803"/>
      <c r="N3" s="804"/>
      <c r="O3" s="805" t="s">
        <v>106</v>
      </c>
      <c r="P3" s="805"/>
      <c r="Q3" s="805"/>
      <c r="R3" s="805"/>
      <c r="S3" s="805"/>
      <c r="T3" s="805"/>
      <c r="U3" s="802" t="s">
        <v>108</v>
      </c>
      <c r="V3" s="803"/>
      <c r="W3" s="803"/>
      <c r="X3" s="803"/>
      <c r="Y3" s="803"/>
      <c r="Z3" s="803"/>
      <c r="AA3" s="804"/>
    </row>
    <row r="4" spans="1:39" ht="75.75" thickBot="1" x14ac:dyDescent="0.3">
      <c r="A4" s="193" t="s">
        <v>259</v>
      </c>
      <c r="B4" s="194" t="s">
        <v>100</v>
      </c>
      <c r="C4" s="194" t="s">
        <v>122</v>
      </c>
      <c r="D4" s="194" t="s">
        <v>213</v>
      </c>
      <c r="E4" s="194" t="s">
        <v>83</v>
      </c>
      <c r="F4" s="194" t="s">
        <v>174</v>
      </c>
      <c r="G4" s="194" t="s">
        <v>176</v>
      </c>
      <c r="H4" s="194" t="s">
        <v>173</v>
      </c>
      <c r="I4" s="194" t="s">
        <v>172</v>
      </c>
      <c r="J4" s="195" t="s">
        <v>1</v>
      </c>
      <c r="K4" s="199" t="s">
        <v>215</v>
      </c>
      <c r="L4" s="208" t="s">
        <v>88</v>
      </c>
      <c r="M4" s="192" t="s">
        <v>80</v>
      </c>
      <c r="N4" s="209" t="s">
        <v>103</v>
      </c>
      <c r="O4" s="69" t="s">
        <v>89</v>
      </c>
      <c r="P4" s="69" t="s">
        <v>139</v>
      </c>
      <c r="Q4" s="67" t="s">
        <v>81</v>
      </c>
      <c r="R4" s="24" t="s">
        <v>141</v>
      </c>
      <c r="S4" s="24" t="s">
        <v>105</v>
      </c>
      <c r="T4" s="276" t="s">
        <v>153</v>
      </c>
      <c r="U4" s="283" t="s">
        <v>90</v>
      </c>
      <c r="V4" s="284" t="s">
        <v>140</v>
      </c>
      <c r="W4" s="284" t="s">
        <v>82</v>
      </c>
      <c r="X4" s="284" t="s">
        <v>142</v>
      </c>
      <c r="Y4" s="284" t="s">
        <v>107</v>
      </c>
      <c r="Z4" s="284" t="s">
        <v>153</v>
      </c>
      <c r="AA4" s="285" t="s">
        <v>114</v>
      </c>
      <c r="AB4" s="250" t="s">
        <v>143</v>
      </c>
      <c r="AC4" s="24" t="s">
        <v>144</v>
      </c>
      <c r="AD4" s="284" t="s">
        <v>270</v>
      </c>
      <c r="AE4" s="284" t="s">
        <v>271</v>
      </c>
      <c r="AF4" s="284" t="s">
        <v>272</v>
      </c>
      <c r="AG4" s="284" t="s">
        <v>153</v>
      </c>
      <c r="AH4" s="80" t="s">
        <v>145</v>
      </c>
      <c r="AI4" s="69" t="s">
        <v>102</v>
      </c>
      <c r="AJ4" s="105" t="s">
        <v>85</v>
      </c>
      <c r="AK4" s="80"/>
      <c r="AL4" s="80" t="s">
        <v>214</v>
      </c>
    </row>
    <row r="5" spans="1:39" ht="315" hidden="1" x14ac:dyDescent="0.25">
      <c r="A5" s="196" t="s">
        <v>110</v>
      </c>
      <c r="B5" s="46" t="s">
        <v>101</v>
      </c>
      <c r="C5" s="59" t="s">
        <v>123</v>
      </c>
      <c r="D5" s="46" t="s">
        <v>211</v>
      </c>
      <c r="E5" s="2" t="s">
        <v>2</v>
      </c>
      <c r="F5" s="46" t="s">
        <v>185</v>
      </c>
      <c r="G5" s="46" t="s">
        <v>177</v>
      </c>
      <c r="H5" s="46" t="s">
        <v>184</v>
      </c>
      <c r="I5" s="59" t="s">
        <v>186</v>
      </c>
      <c r="J5" s="32">
        <v>0.83</v>
      </c>
      <c r="K5" s="168">
        <v>0.77300000000000002</v>
      </c>
      <c r="L5" s="47">
        <v>0.79600000000000004</v>
      </c>
      <c r="M5" s="32">
        <v>0.77810000000000001</v>
      </c>
      <c r="N5" s="123">
        <f>+M5/L5</f>
        <v>0.97751256281407028</v>
      </c>
      <c r="O5" s="157">
        <v>0.80400000000000005</v>
      </c>
      <c r="P5" s="229">
        <v>0.80400000000000005</v>
      </c>
      <c r="Q5" s="110">
        <v>0.79479999999999995</v>
      </c>
      <c r="R5" s="110">
        <v>0.79479999999999995</v>
      </c>
      <c r="S5" s="112">
        <f>+Q5/O5</f>
        <v>0.98855721393034812</v>
      </c>
      <c r="T5" s="122">
        <f>+R5/$P5</f>
        <v>0.98855721393034812</v>
      </c>
      <c r="U5" s="277">
        <v>0.81899999999999995</v>
      </c>
      <c r="V5" s="278">
        <v>0.81899999999999995</v>
      </c>
      <c r="W5" s="324">
        <v>0.80110000000000003</v>
      </c>
      <c r="X5" s="280">
        <v>0.80110000000000003</v>
      </c>
      <c r="Y5" s="281">
        <f>+W5/U5</f>
        <v>0.97814407814407822</v>
      </c>
      <c r="Z5" s="281">
        <f>+X5/$V5</f>
        <v>0.97814407814407822</v>
      </c>
      <c r="AA5" s="282" t="s">
        <v>146</v>
      </c>
      <c r="AB5" s="251">
        <v>0.83</v>
      </c>
      <c r="AC5" s="111">
        <f>+J5</f>
        <v>0.83</v>
      </c>
      <c r="AD5" s="169"/>
      <c r="AE5" s="169"/>
      <c r="AF5" s="169"/>
      <c r="AG5" s="169"/>
      <c r="AH5" s="169">
        <f t="shared" ref="AH5:AH11" si="0">+AC5-X5</f>
        <v>2.8899999999999926E-2</v>
      </c>
      <c r="AI5" s="71"/>
      <c r="AJ5" s="269" t="s">
        <v>92</v>
      </c>
      <c r="AK5" s="246"/>
      <c r="AL5" s="173" t="s">
        <v>217</v>
      </c>
    </row>
    <row r="6" spans="1:39" ht="150" hidden="1" x14ac:dyDescent="0.25">
      <c r="A6" s="196" t="s">
        <v>110</v>
      </c>
      <c r="B6" s="46" t="s">
        <v>101</v>
      </c>
      <c r="C6" s="59" t="s">
        <v>123</v>
      </c>
      <c r="D6" s="46" t="s">
        <v>211</v>
      </c>
      <c r="E6" s="2" t="s">
        <v>3</v>
      </c>
      <c r="F6" s="46" t="s">
        <v>185</v>
      </c>
      <c r="G6" s="46" t="s">
        <v>177</v>
      </c>
      <c r="H6" s="46" t="s">
        <v>184</v>
      </c>
      <c r="I6" s="59" t="s">
        <v>186</v>
      </c>
      <c r="J6" s="32">
        <v>0.45</v>
      </c>
      <c r="K6" s="168">
        <v>0.372</v>
      </c>
      <c r="L6" s="47">
        <v>0.39219999999999999</v>
      </c>
      <c r="M6" s="32">
        <v>0.39700000000000002</v>
      </c>
      <c r="N6" s="123">
        <f>+M6/L6</f>
        <v>1.0122386537480879</v>
      </c>
      <c r="O6" s="158">
        <v>0.41149999999999998</v>
      </c>
      <c r="P6" s="230">
        <v>0.41149999999999998</v>
      </c>
      <c r="Q6" s="32">
        <v>0.435</v>
      </c>
      <c r="R6" s="32">
        <v>0.435</v>
      </c>
      <c r="S6" s="30">
        <f>+Q6/O6</f>
        <v>1.0571081409477521</v>
      </c>
      <c r="T6" s="123">
        <f>+R6/$P6</f>
        <v>1.0571081409477521</v>
      </c>
      <c r="U6" s="51">
        <v>0.43009999999999998</v>
      </c>
      <c r="V6" s="33">
        <v>0.43009999999999998</v>
      </c>
      <c r="W6" s="279" t="s">
        <v>278</v>
      </c>
      <c r="X6" s="89" t="s">
        <v>278</v>
      </c>
      <c r="Y6" s="30" t="e">
        <f t="shared" ref="Y6:Y36" si="1">+W6/U6</f>
        <v>#VALUE!</v>
      </c>
      <c r="Z6" s="30" t="e">
        <f>+X6/$V6</f>
        <v>#VALUE!</v>
      </c>
      <c r="AA6" s="123" t="s">
        <v>146</v>
      </c>
      <c r="AB6" s="252">
        <v>0.45</v>
      </c>
      <c r="AC6" s="33">
        <f>+J6</f>
        <v>0.45</v>
      </c>
      <c r="AD6" s="168"/>
      <c r="AE6" s="168"/>
      <c r="AF6" s="168"/>
      <c r="AG6" s="168"/>
      <c r="AH6" s="168" t="e">
        <f t="shared" si="0"/>
        <v>#VALUE!</v>
      </c>
      <c r="AI6" s="70" t="s">
        <v>154</v>
      </c>
      <c r="AJ6" s="270" t="s">
        <v>92</v>
      </c>
      <c r="AK6" s="168"/>
      <c r="AL6" s="68"/>
    </row>
    <row r="7" spans="1:39" ht="99" hidden="1" customHeight="1" x14ac:dyDescent="0.25">
      <c r="A7" s="196" t="s">
        <v>110</v>
      </c>
      <c r="B7" s="46" t="s">
        <v>101</v>
      </c>
      <c r="C7" s="59" t="s">
        <v>123</v>
      </c>
      <c r="D7" s="46" t="s">
        <v>211</v>
      </c>
      <c r="E7" s="2" t="s">
        <v>4</v>
      </c>
      <c r="F7" s="46" t="s">
        <v>185</v>
      </c>
      <c r="G7" s="46" t="s">
        <v>177</v>
      </c>
      <c r="H7" s="46" t="s">
        <v>184</v>
      </c>
      <c r="I7" s="59" t="s">
        <v>183</v>
      </c>
      <c r="J7" s="32">
        <v>0.93</v>
      </c>
      <c r="K7" s="168">
        <v>0.871</v>
      </c>
      <c r="L7" s="47">
        <v>0.8901</v>
      </c>
      <c r="M7" s="32">
        <v>0.86770000000000003</v>
      </c>
      <c r="N7" s="123">
        <f>+M7/L7</f>
        <v>0.97483428828221552</v>
      </c>
      <c r="O7" s="158">
        <v>0.91090000000000004</v>
      </c>
      <c r="P7" s="230">
        <v>0.91090000000000004</v>
      </c>
      <c r="Q7" s="32">
        <v>0.86699999999999999</v>
      </c>
      <c r="R7" s="31">
        <v>0.86699999999999999</v>
      </c>
      <c r="S7" s="30">
        <f>+Q7/O7</f>
        <v>0.95180590624656924</v>
      </c>
      <c r="T7" s="123">
        <f t="shared" ref="T7:T67" si="2">+R7/$P7</f>
        <v>0.95180590624656924</v>
      </c>
      <c r="U7" s="51">
        <v>0.91681999999999997</v>
      </c>
      <c r="V7" s="34">
        <v>0.91681999999999997</v>
      </c>
      <c r="W7" s="324">
        <v>0.86040000000000005</v>
      </c>
      <c r="X7" s="60">
        <v>0.86040000000000005</v>
      </c>
      <c r="Y7" s="30">
        <f t="shared" si="1"/>
        <v>0.938461202853341</v>
      </c>
      <c r="Z7" s="30">
        <f>+X7/$V7</f>
        <v>0.938461202853341</v>
      </c>
      <c r="AA7" s="123" t="s">
        <v>146</v>
      </c>
      <c r="AB7" s="252">
        <v>0.93</v>
      </c>
      <c r="AC7" s="33">
        <f>+J7</f>
        <v>0.93</v>
      </c>
      <c r="AD7" s="168"/>
      <c r="AE7" s="168"/>
      <c r="AF7" s="168"/>
      <c r="AG7" s="168"/>
      <c r="AH7" s="168">
        <f t="shared" si="0"/>
        <v>6.9599999999999995E-2</v>
      </c>
      <c r="AI7" s="70" t="s">
        <v>154</v>
      </c>
      <c r="AJ7" s="270" t="s">
        <v>92</v>
      </c>
      <c r="AK7" s="168"/>
      <c r="AL7" s="68"/>
    </row>
    <row r="8" spans="1:39" ht="150" hidden="1" x14ac:dyDescent="0.25">
      <c r="A8" s="248" t="s">
        <v>110</v>
      </c>
      <c r="B8" s="46" t="s">
        <v>101</v>
      </c>
      <c r="C8" s="59" t="s">
        <v>123</v>
      </c>
      <c r="D8" s="46" t="s">
        <v>211</v>
      </c>
      <c r="E8" s="2" t="s">
        <v>5</v>
      </c>
      <c r="F8" s="46" t="s">
        <v>185</v>
      </c>
      <c r="G8" s="46" t="s">
        <v>177</v>
      </c>
      <c r="H8" s="46" t="s">
        <v>187</v>
      </c>
      <c r="I8" s="59" t="s">
        <v>183</v>
      </c>
      <c r="J8" s="13">
        <v>2.5000000000000001E-2</v>
      </c>
      <c r="K8" s="168">
        <v>3.1E-2</v>
      </c>
      <c r="L8" s="50">
        <v>3.0300000000000001E-2</v>
      </c>
      <c r="M8" s="13">
        <v>3.2599999999999997E-2</v>
      </c>
      <c r="N8" s="123">
        <f>(K8-M8)/(K8-L8)</f>
        <v>-2.2857142857142843</v>
      </c>
      <c r="O8" s="158">
        <v>2.9499999999999998E-2</v>
      </c>
      <c r="P8" s="150">
        <v>2.9499999999999998E-2</v>
      </c>
      <c r="Q8" s="32">
        <v>3.7199999999999997E-2</v>
      </c>
      <c r="R8" s="14">
        <v>3.7199999999999997E-2</v>
      </c>
      <c r="S8" s="30">
        <f>+(K8-Q8)/(K8-O8)</f>
        <v>-4.1333333333333275</v>
      </c>
      <c r="T8" s="123">
        <f>+(K8-R8)/(K8-J8)</f>
        <v>-1.0333333333333332</v>
      </c>
      <c r="U8" s="51">
        <v>2.8799999999999999E-2</v>
      </c>
      <c r="V8" s="83">
        <v>2.8799999999999999E-2</v>
      </c>
      <c r="W8" s="324">
        <v>3.0800000000000001E-2</v>
      </c>
      <c r="X8" s="60">
        <v>3.0800000000000001E-2</v>
      </c>
      <c r="Y8" s="30">
        <f>+(K8-W8)/(K8-U8)</f>
        <v>9.0909090909090329E-2</v>
      </c>
      <c r="Z8" s="30">
        <f>(K8-X8)/(K8-V8)</f>
        <v>9.0909090909090329E-2</v>
      </c>
      <c r="AA8" s="123" t="s">
        <v>146</v>
      </c>
      <c r="AB8" s="253">
        <v>2.5000000000000001E-2</v>
      </c>
      <c r="AC8" s="26">
        <f>+J8</f>
        <v>2.5000000000000001E-2</v>
      </c>
      <c r="AD8" s="167"/>
      <c r="AE8" s="167"/>
      <c r="AF8" s="30">
        <f>(K8-AD8)/(K8-AB8)</f>
        <v>5.1666666666666679</v>
      </c>
      <c r="AG8" s="30">
        <f>+(K8-AE8)/(K8-AC8)</f>
        <v>5.1666666666666679</v>
      </c>
      <c r="AH8" s="167">
        <f t="shared" si="0"/>
        <v>-5.7999999999999996E-3</v>
      </c>
      <c r="AI8" s="70" t="s">
        <v>154</v>
      </c>
      <c r="AJ8" s="270" t="s">
        <v>92</v>
      </c>
      <c r="AK8" s="167"/>
      <c r="AL8" s="68"/>
    </row>
    <row r="9" spans="1:39" ht="150" hidden="1" x14ac:dyDescent="0.25">
      <c r="A9" s="196" t="s">
        <v>110</v>
      </c>
      <c r="B9" s="46" t="s">
        <v>101</v>
      </c>
      <c r="C9" s="59" t="s">
        <v>123</v>
      </c>
      <c r="D9" s="46" t="s">
        <v>212</v>
      </c>
      <c r="E9" s="216" t="s">
        <v>156</v>
      </c>
      <c r="F9" s="46" t="s">
        <v>185</v>
      </c>
      <c r="G9" s="46" t="s">
        <v>177</v>
      </c>
      <c r="H9" s="46" t="s">
        <v>184</v>
      </c>
      <c r="I9" s="59" t="s">
        <v>186</v>
      </c>
      <c r="J9" s="13">
        <v>0.69</v>
      </c>
      <c r="K9" s="168">
        <v>0.621</v>
      </c>
      <c r="L9" s="50">
        <v>0.63278000000000001</v>
      </c>
      <c r="M9" s="14">
        <v>0.63139999999999996</v>
      </c>
      <c r="N9" s="123">
        <f>+M9/L9</f>
        <v>0.99781914725497001</v>
      </c>
      <c r="O9" s="158">
        <v>0.65627000000000002</v>
      </c>
      <c r="P9" s="231">
        <v>0.65629999999999999</v>
      </c>
      <c r="Q9" s="32">
        <v>0.64980000000000004</v>
      </c>
      <c r="R9" s="14">
        <v>0.64980000000000004</v>
      </c>
      <c r="S9" s="30">
        <f t="shared" ref="S9:S28" si="3">+Q9/O9</f>
        <v>0.9901412528380088</v>
      </c>
      <c r="T9" s="123">
        <f>+R9/$P9</f>
        <v>0.99009599268627158</v>
      </c>
      <c r="U9" s="51">
        <v>0.67976000000000003</v>
      </c>
      <c r="V9" s="83">
        <v>0.67976000000000003</v>
      </c>
      <c r="W9" s="279" t="s">
        <v>278</v>
      </c>
      <c r="X9" s="89" t="s">
        <v>278</v>
      </c>
      <c r="Y9" s="30" t="e">
        <f t="shared" si="1"/>
        <v>#VALUE!</v>
      </c>
      <c r="Z9" s="30" t="e">
        <f>+X9/$V9</f>
        <v>#VALUE!</v>
      </c>
      <c r="AA9" s="123" t="s">
        <v>146</v>
      </c>
      <c r="AB9" s="252">
        <v>0.69</v>
      </c>
      <c r="AC9" s="26">
        <f>+J9</f>
        <v>0.69</v>
      </c>
      <c r="AD9" s="167"/>
      <c r="AE9" s="167"/>
      <c r="AF9" s="167"/>
      <c r="AG9" s="167"/>
      <c r="AH9" s="167" t="e">
        <f t="shared" si="0"/>
        <v>#VALUE!</v>
      </c>
      <c r="AI9" s="70" t="s">
        <v>154</v>
      </c>
      <c r="AJ9" s="270" t="s">
        <v>92</v>
      </c>
      <c r="AK9" s="167"/>
      <c r="AL9" s="68"/>
    </row>
    <row r="10" spans="1:39" ht="135.75" hidden="1" customHeight="1" x14ac:dyDescent="0.25">
      <c r="A10" s="196" t="s">
        <v>110</v>
      </c>
      <c r="B10" s="46" t="s">
        <v>101</v>
      </c>
      <c r="C10" s="59" t="s">
        <v>124</v>
      </c>
      <c r="D10" s="46" t="s">
        <v>211</v>
      </c>
      <c r="E10" s="2" t="s">
        <v>7</v>
      </c>
      <c r="F10" s="46" t="s">
        <v>175</v>
      </c>
      <c r="G10" s="46" t="s">
        <v>177</v>
      </c>
      <c r="H10" s="46" t="s">
        <v>188</v>
      </c>
      <c r="I10" s="59" t="s">
        <v>189</v>
      </c>
      <c r="J10" s="29">
        <v>1000</v>
      </c>
      <c r="K10" s="200">
        <v>168</v>
      </c>
      <c r="L10" s="79">
        <v>150</v>
      </c>
      <c r="M10" s="17">
        <v>486</v>
      </c>
      <c r="N10" s="123">
        <f>+M10/L10</f>
        <v>3.24</v>
      </c>
      <c r="O10" s="180">
        <v>300</v>
      </c>
      <c r="P10" s="232">
        <f>+L10+O10</f>
        <v>450</v>
      </c>
      <c r="Q10" s="18">
        <f>248</f>
        <v>248</v>
      </c>
      <c r="R10" s="18">
        <f>+M10+Q10</f>
        <v>734</v>
      </c>
      <c r="S10" s="32">
        <f t="shared" si="3"/>
        <v>0.82666666666666666</v>
      </c>
      <c r="T10" s="123">
        <f t="shared" si="2"/>
        <v>1.6311111111111112</v>
      </c>
      <c r="U10" s="56">
        <f>350</f>
        <v>350</v>
      </c>
      <c r="V10" s="36">
        <v>350</v>
      </c>
      <c r="W10" s="307" t="s">
        <v>278</v>
      </c>
      <c r="X10" s="310" t="s">
        <v>278</v>
      </c>
      <c r="Y10" s="30" t="e">
        <f t="shared" si="1"/>
        <v>#VALUE!</v>
      </c>
      <c r="Z10" s="30" t="e">
        <f>+X10/$V10</f>
        <v>#VALUE!</v>
      </c>
      <c r="AA10" s="126" t="s">
        <v>115</v>
      </c>
      <c r="AB10" s="254">
        <v>200</v>
      </c>
      <c r="AC10" s="35">
        <f>+L10+O10+U10+AB10</f>
        <v>1000</v>
      </c>
      <c r="AD10" s="165"/>
      <c r="AE10" s="165"/>
      <c r="AF10" s="165"/>
      <c r="AG10" s="165"/>
      <c r="AH10" s="165" t="e">
        <f t="shared" si="0"/>
        <v>#VALUE!</v>
      </c>
      <c r="AI10" s="70"/>
      <c r="AJ10" s="270"/>
      <c r="AK10" s="165"/>
      <c r="AL10" s="68"/>
    </row>
    <row r="11" spans="1:39" ht="165" hidden="1" x14ac:dyDescent="0.25">
      <c r="A11" s="196" t="s">
        <v>110</v>
      </c>
      <c r="B11" s="46" t="s">
        <v>101</v>
      </c>
      <c r="C11" s="59" t="s">
        <v>125</v>
      </c>
      <c r="D11" s="46" t="s">
        <v>211</v>
      </c>
      <c r="E11" s="2" t="s">
        <v>8</v>
      </c>
      <c r="F11" s="46" t="s">
        <v>185</v>
      </c>
      <c r="G11" s="46" t="s">
        <v>177</v>
      </c>
      <c r="H11" s="46" t="s">
        <v>184</v>
      </c>
      <c r="I11" s="59" t="s">
        <v>183</v>
      </c>
      <c r="J11" s="13">
        <v>0.45</v>
      </c>
      <c r="K11" s="168">
        <v>0.371</v>
      </c>
      <c r="L11" s="50">
        <v>0.38854</v>
      </c>
      <c r="M11" s="14">
        <v>0.42159999999999997</v>
      </c>
      <c r="N11" s="123">
        <f>+M11/L11</f>
        <v>1.0850877644515364</v>
      </c>
      <c r="O11" s="158">
        <v>0.40622999999999998</v>
      </c>
      <c r="P11" s="231">
        <v>0.40620000000000001</v>
      </c>
      <c r="Q11" s="32">
        <f>+R11-M11</f>
        <v>-3.9599999999999969E-2</v>
      </c>
      <c r="R11" s="14">
        <v>0.38200000000000001</v>
      </c>
      <c r="S11" s="30">
        <f t="shared" si="3"/>
        <v>-9.7481722177091723E-2</v>
      </c>
      <c r="T11" s="123">
        <f t="shared" si="2"/>
        <v>0.94042343673067452</v>
      </c>
      <c r="U11" s="51">
        <v>0.42392000000000002</v>
      </c>
      <c r="V11" s="83">
        <v>0.42392000000000002</v>
      </c>
      <c r="W11" s="307" t="s">
        <v>278</v>
      </c>
      <c r="X11" s="89" t="s">
        <v>278</v>
      </c>
      <c r="Y11" s="30" t="e">
        <f t="shared" si="1"/>
        <v>#VALUE!</v>
      </c>
      <c r="Z11" s="30" t="e">
        <f>+X11/$V11</f>
        <v>#VALUE!</v>
      </c>
      <c r="AA11" s="123" t="s">
        <v>146</v>
      </c>
      <c r="AB11" s="252">
        <v>0.45</v>
      </c>
      <c r="AC11" s="26">
        <f t="shared" ref="AC11:AC30" si="4">+J11</f>
        <v>0.45</v>
      </c>
      <c r="AD11" s="167"/>
      <c r="AE11" s="167"/>
      <c r="AF11" s="167"/>
      <c r="AG11" s="167"/>
      <c r="AH11" s="167" t="e">
        <f t="shared" si="0"/>
        <v>#VALUE!</v>
      </c>
      <c r="AI11" s="70" t="s">
        <v>113</v>
      </c>
      <c r="AJ11" s="270" t="s">
        <v>93</v>
      </c>
      <c r="AK11" s="167"/>
      <c r="AL11" s="68"/>
    </row>
    <row r="12" spans="1:39" ht="165" hidden="1" x14ac:dyDescent="0.25">
      <c r="A12" s="196" t="s">
        <v>110</v>
      </c>
      <c r="B12" s="46" t="s">
        <v>101</v>
      </c>
      <c r="C12" s="59" t="s">
        <v>125</v>
      </c>
      <c r="D12" s="46" t="s">
        <v>212</v>
      </c>
      <c r="E12" s="217" t="s">
        <v>9</v>
      </c>
      <c r="F12" s="46" t="s">
        <v>185</v>
      </c>
      <c r="G12" s="46" t="s">
        <v>177</v>
      </c>
      <c r="H12" s="46" t="s">
        <v>184</v>
      </c>
      <c r="I12" s="59" t="s">
        <v>183</v>
      </c>
      <c r="J12" s="13">
        <v>0.42</v>
      </c>
      <c r="K12" s="168">
        <v>0.35699999999999998</v>
      </c>
      <c r="L12" s="50">
        <v>0.37385000000000002</v>
      </c>
      <c r="M12" s="14">
        <v>0.42659999999999998</v>
      </c>
      <c r="N12" s="123">
        <f>+M12/L12</f>
        <v>1.1410993714056439</v>
      </c>
      <c r="O12" s="158">
        <v>0.39087</v>
      </c>
      <c r="P12" s="231">
        <v>0.39090000000000003</v>
      </c>
      <c r="Q12" s="32">
        <v>0.39400000000000002</v>
      </c>
      <c r="R12" s="14">
        <v>0.39400000000000002</v>
      </c>
      <c r="S12" s="30">
        <f t="shared" si="3"/>
        <v>1.0080077775219383</v>
      </c>
      <c r="T12" s="123">
        <f t="shared" si="2"/>
        <v>1.0079304169864416</v>
      </c>
      <c r="U12" s="51">
        <v>0.40788999999999997</v>
      </c>
      <c r="V12" s="83">
        <v>0.40788999999999997</v>
      </c>
      <c r="W12" s="307" t="s">
        <v>278</v>
      </c>
      <c r="X12" s="89" t="s">
        <v>278</v>
      </c>
      <c r="Y12" s="30" t="e">
        <f t="shared" si="1"/>
        <v>#VALUE!</v>
      </c>
      <c r="Z12" s="30" t="e">
        <f>+X12/$V12</f>
        <v>#VALUE!</v>
      </c>
      <c r="AA12" s="123" t="s">
        <v>146</v>
      </c>
      <c r="AB12" s="252">
        <v>0.42</v>
      </c>
      <c r="AC12" s="26">
        <f t="shared" si="4"/>
        <v>0.42</v>
      </c>
      <c r="AD12" s="167"/>
      <c r="AE12" s="167"/>
      <c r="AF12" s="167"/>
      <c r="AG12" s="167"/>
      <c r="AH12" s="167">
        <v>0.42</v>
      </c>
      <c r="AI12" s="70" t="s">
        <v>113</v>
      </c>
      <c r="AJ12" s="270" t="s">
        <v>93</v>
      </c>
      <c r="AK12" s="167"/>
      <c r="AL12" s="68"/>
    </row>
    <row r="13" spans="1:39" ht="285" hidden="1" x14ac:dyDescent="0.25">
      <c r="A13" s="196" t="s">
        <v>110</v>
      </c>
      <c r="B13" s="46" t="s">
        <v>101</v>
      </c>
      <c r="C13" s="59" t="s">
        <v>126</v>
      </c>
      <c r="D13" s="46" t="s">
        <v>212</v>
      </c>
      <c r="E13" s="218" t="s">
        <v>10</v>
      </c>
      <c r="F13" s="46" t="s">
        <v>185</v>
      </c>
      <c r="G13" s="46" t="s">
        <v>177</v>
      </c>
      <c r="H13" s="46" t="s">
        <v>187</v>
      </c>
      <c r="I13" s="59" t="s">
        <v>186</v>
      </c>
      <c r="J13" s="32">
        <v>5.1700000000000003E-2</v>
      </c>
      <c r="K13" s="168">
        <v>5.8099999999999999E-2</v>
      </c>
      <c r="L13" s="47">
        <v>5.3539999999999997E-2</v>
      </c>
      <c r="M13" s="31">
        <v>5.7500000000000002E-2</v>
      </c>
      <c r="N13" s="123">
        <f>(K13-M13)/(K13-L13)</f>
        <v>0.13157894736842021</v>
      </c>
      <c r="O13" s="158">
        <v>4.897E-2</v>
      </c>
      <c r="P13" s="48">
        <v>4.9000000000000002E-2</v>
      </c>
      <c r="Q13" s="32">
        <v>5.3499999999999999E-2</v>
      </c>
      <c r="R13" s="31">
        <v>5.3499999999999999E-2</v>
      </c>
      <c r="S13" s="30">
        <f>+(K13-Q13)/(K13-O13)</f>
        <v>0.50383351588170866</v>
      </c>
      <c r="T13" s="123">
        <f>+(K13-R13)/(K13-J13)</f>
        <v>0.71875000000000044</v>
      </c>
      <c r="U13" s="51">
        <v>5.2499999999999998E-2</v>
      </c>
      <c r="V13" s="34">
        <v>5.2499999999999998E-2</v>
      </c>
      <c r="W13" s="311">
        <v>5.2400000000000002E-2</v>
      </c>
      <c r="X13" s="40">
        <v>5.2400000000000002E-2</v>
      </c>
      <c r="Y13" s="30">
        <f>+(K13-W13)/(K13-U13)</f>
        <v>1.0178571428571421</v>
      </c>
      <c r="Z13" s="30">
        <f>(K13-X13)/(K13-V13)</f>
        <v>1.0178571428571421</v>
      </c>
      <c r="AA13" s="123" t="s">
        <v>116</v>
      </c>
      <c r="AB13" s="252">
        <v>5.1700000000000003E-2</v>
      </c>
      <c r="AC13" s="33">
        <f t="shared" si="4"/>
        <v>5.1700000000000003E-2</v>
      </c>
      <c r="AD13" s="168">
        <v>0</v>
      </c>
      <c r="AE13" s="168">
        <v>5.2400000000000002E-2</v>
      </c>
      <c r="AF13" s="30">
        <f>(K13-AD13)/(K13-AB13)</f>
        <v>9.0781250000000053</v>
      </c>
      <c r="AG13" s="30">
        <f>+(K13-AE13)/(K13-AC13)</f>
        <v>0.890625</v>
      </c>
      <c r="AH13" s="168">
        <v>5.1700000000000003E-2</v>
      </c>
      <c r="AI13" s="70"/>
      <c r="AJ13" s="270"/>
      <c r="AK13" s="168"/>
      <c r="AL13" s="173" t="s">
        <v>218</v>
      </c>
      <c r="AM13" t="s">
        <v>277</v>
      </c>
    </row>
    <row r="14" spans="1:39" ht="409.5" hidden="1" x14ac:dyDescent="0.25">
      <c r="A14" s="196" t="s">
        <v>110</v>
      </c>
      <c r="B14" s="46" t="s">
        <v>101</v>
      </c>
      <c r="C14" s="59" t="s">
        <v>126</v>
      </c>
      <c r="D14" s="46" t="s">
        <v>212</v>
      </c>
      <c r="E14" s="218" t="s">
        <v>11</v>
      </c>
      <c r="F14" s="46" t="s">
        <v>191</v>
      </c>
      <c r="G14" s="46" t="s">
        <v>177</v>
      </c>
      <c r="H14" s="46" t="s">
        <v>190</v>
      </c>
      <c r="I14" s="59" t="s">
        <v>192</v>
      </c>
      <c r="J14" s="29">
        <f>419082+357218</f>
        <v>776300</v>
      </c>
      <c r="K14" s="200">
        <v>419082</v>
      </c>
      <c r="L14" s="49">
        <f>121397+419082</f>
        <v>540479</v>
      </c>
      <c r="M14" s="19">
        <f>419082+71577</f>
        <v>490659</v>
      </c>
      <c r="N14" s="123">
        <f>+M14/L14</f>
        <v>0.90782250559226163</v>
      </c>
      <c r="O14" s="161">
        <f>292218+419082</f>
        <v>711300</v>
      </c>
      <c r="P14" s="144">
        <v>292218</v>
      </c>
      <c r="Q14" s="19">
        <f>85159</f>
        <v>85159</v>
      </c>
      <c r="R14" s="27">
        <f>+M14+Q14</f>
        <v>575818</v>
      </c>
      <c r="S14" s="30">
        <f t="shared" si="3"/>
        <v>0.11972304231688458</v>
      </c>
      <c r="T14" s="123">
        <f t="shared" si="2"/>
        <v>1.9705083191316073</v>
      </c>
      <c r="U14" s="56">
        <v>327218</v>
      </c>
      <c r="V14" s="36">
        <f>327218+419082</f>
        <v>746300</v>
      </c>
      <c r="W14" s="66">
        <v>628452</v>
      </c>
      <c r="X14" s="66">
        <v>628452</v>
      </c>
      <c r="Y14" s="30">
        <f>+W14/U14</f>
        <v>1.9205911655226791</v>
      </c>
      <c r="Z14" s="30">
        <f>+X14/$V14</f>
        <v>0.84209031220688735</v>
      </c>
      <c r="AA14" s="123" t="s">
        <v>116</v>
      </c>
      <c r="AB14" s="255">
        <v>357218</v>
      </c>
      <c r="AC14" s="35">
        <f t="shared" si="4"/>
        <v>776300</v>
      </c>
      <c r="AD14" s="165"/>
      <c r="AE14" s="165"/>
      <c r="AF14" s="165"/>
      <c r="AG14" s="165"/>
      <c r="AH14" s="165">
        <f>+AC14-X14</f>
        <v>147848</v>
      </c>
      <c r="AI14" s="70" t="s">
        <v>113</v>
      </c>
      <c r="AJ14" s="270"/>
      <c r="AK14" s="165"/>
      <c r="AL14" s="173" t="s">
        <v>219</v>
      </c>
    </row>
    <row r="15" spans="1:39" ht="270" hidden="1" x14ac:dyDescent="0.25">
      <c r="A15" s="196" t="s">
        <v>110</v>
      </c>
      <c r="B15" s="46" t="s">
        <v>101</v>
      </c>
      <c r="C15" s="59" t="s">
        <v>123</v>
      </c>
      <c r="D15" s="46" t="s">
        <v>211</v>
      </c>
      <c r="E15" s="3" t="s">
        <v>12</v>
      </c>
      <c r="F15" s="46" t="s">
        <v>175</v>
      </c>
      <c r="G15" s="46" t="s">
        <v>177</v>
      </c>
      <c r="H15" s="46" t="s">
        <v>184</v>
      </c>
      <c r="I15" s="59" t="s">
        <v>186</v>
      </c>
      <c r="J15" s="184">
        <v>0.75670000000000004</v>
      </c>
      <c r="K15" s="201">
        <v>0.7147</v>
      </c>
      <c r="L15" s="210">
        <v>0.71479999999999999</v>
      </c>
      <c r="M15" s="32">
        <v>0.72970000000000002</v>
      </c>
      <c r="N15" s="123">
        <f t="shared" ref="N15:N39" si="5">+M15/L15</f>
        <v>1.0208449916060436</v>
      </c>
      <c r="O15" s="221">
        <v>0.72319999999999995</v>
      </c>
      <c r="P15" s="48">
        <v>0.72319999999999995</v>
      </c>
      <c r="Q15" s="32">
        <v>0.75239999999999996</v>
      </c>
      <c r="R15" s="32">
        <v>0.75239999999999996</v>
      </c>
      <c r="S15" s="30">
        <f t="shared" si="3"/>
        <v>1.0403761061946903</v>
      </c>
      <c r="T15" s="123">
        <f>+R15/$P15</f>
        <v>1.0403761061946903</v>
      </c>
      <c r="U15" s="210">
        <v>0.74329999999999996</v>
      </c>
      <c r="V15" s="34">
        <v>0.74329999999999996</v>
      </c>
      <c r="W15" s="325">
        <v>0.76570000000000005</v>
      </c>
      <c r="X15" s="60">
        <v>0.76570000000000005</v>
      </c>
      <c r="Y15" s="30">
        <f t="shared" si="1"/>
        <v>1.0301358805327594</v>
      </c>
      <c r="Z15" s="30">
        <f t="shared" ref="Z15:Z39" si="6">+X15/$V15</f>
        <v>1.0301358805327594</v>
      </c>
      <c r="AA15" s="123" t="s">
        <v>146</v>
      </c>
      <c r="AB15" s="256">
        <v>0.75670000000000004</v>
      </c>
      <c r="AC15" s="33">
        <f t="shared" si="4"/>
        <v>0.75670000000000004</v>
      </c>
      <c r="AD15" s="168"/>
      <c r="AE15" s="168"/>
      <c r="AF15" s="168"/>
      <c r="AG15" s="168"/>
      <c r="AH15" s="168">
        <v>0.75670000000000004</v>
      </c>
      <c r="AI15" s="70" t="s">
        <v>154</v>
      </c>
      <c r="AJ15" s="270" t="s">
        <v>92</v>
      </c>
      <c r="AK15" s="168"/>
      <c r="AL15" s="173" t="s">
        <v>220</v>
      </c>
    </row>
    <row r="16" spans="1:39" ht="147.75" hidden="1" customHeight="1" x14ac:dyDescent="0.25">
      <c r="A16" s="196" t="s">
        <v>110</v>
      </c>
      <c r="B16" s="46" t="s">
        <v>101</v>
      </c>
      <c r="C16" s="59" t="s">
        <v>123</v>
      </c>
      <c r="D16" s="46" t="s">
        <v>211</v>
      </c>
      <c r="E16" s="3" t="s">
        <v>13</v>
      </c>
      <c r="F16" s="46" t="s">
        <v>185</v>
      </c>
      <c r="G16" s="46" t="s">
        <v>177</v>
      </c>
      <c r="H16" s="46" t="s">
        <v>184</v>
      </c>
      <c r="I16" s="59" t="s">
        <v>186</v>
      </c>
      <c r="J16" s="184">
        <v>0.71130000000000004</v>
      </c>
      <c r="K16" s="201">
        <v>0.60740000000000005</v>
      </c>
      <c r="L16" s="210">
        <v>0.70697331363973004</v>
      </c>
      <c r="M16" s="32">
        <v>0.73770000000000002</v>
      </c>
      <c r="N16" s="123">
        <f t="shared" si="5"/>
        <v>1.0434623001568177</v>
      </c>
      <c r="O16" s="221">
        <v>0.70499999999999996</v>
      </c>
      <c r="P16" s="48">
        <v>0.70499999999999996</v>
      </c>
      <c r="Q16" s="32">
        <v>0.75439999999999996</v>
      </c>
      <c r="R16" s="32">
        <v>0.75439999999999996</v>
      </c>
      <c r="S16" s="30">
        <f t="shared" si="3"/>
        <v>1.0700709219858155</v>
      </c>
      <c r="T16" s="123">
        <f>+R16/$P16</f>
        <v>1.0700709219858155</v>
      </c>
      <c r="U16" s="210">
        <v>0.70930000000000004</v>
      </c>
      <c r="V16" s="34">
        <v>0.70930000000000004</v>
      </c>
      <c r="W16" s="325">
        <v>0.75449999999999995</v>
      </c>
      <c r="X16" s="60">
        <v>0.75449999999999995</v>
      </c>
      <c r="Y16" s="30">
        <f t="shared" si="1"/>
        <v>1.0637247990977019</v>
      </c>
      <c r="Z16" s="30">
        <f t="shared" si="6"/>
        <v>1.0637247990977019</v>
      </c>
      <c r="AA16" s="123" t="s">
        <v>146</v>
      </c>
      <c r="AB16" s="252">
        <v>0.71130000000000004</v>
      </c>
      <c r="AC16" s="33">
        <f t="shared" si="4"/>
        <v>0.71130000000000004</v>
      </c>
      <c r="AD16" s="168"/>
      <c r="AE16" s="168"/>
      <c r="AF16" s="168"/>
      <c r="AG16" s="168"/>
      <c r="AH16" s="168">
        <v>0.71130000000000004</v>
      </c>
      <c r="AI16" s="70" t="s">
        <v>154</v>
      </c>
      <c r="AJ16" s="270" t="s">
        <v>92</v>
      </c>
      <c r="AK16" s="168"/>
      <c r="AL16" s="173" t="s">
        <v>221</v>
      </c>
    </row>
    <row r="17" spans="1:38" ht="150" hidden="1" x14ac:dyDescent="0.25">
      <c r="A17" s="196" t="s">
        <v>110</v>
      </c>
      <c r="B17" s="46" t="s">
        <v>101</v>
      </c>
      <c r="C17" s="59" t="s">
        <v>123</v>
      </c>
      <c r="D17" s="46" t="s">
        <v>211</v>
      </c>
      <c r="E17" s="3" t="s">
        <v>14</v>
      </c>
      <c r="F17" s="46" t="s">
        <v>175</v>
      </c>
      <c r="G17" s="46" t="s">
        <v>177</v>
      </c>
      <c r="H17" s="46" t="s">
        <v>184</v>
      </c>
      <c r="I17" s="59" t="s">
        <v>193</v>
      </c>
      <c r="J17" s="190">
        <v>113658</v>
      </c>
      <c r="K17" s="200">
        <v>109658</v>
      </c>
      <c r="L17" s="211">
        <v>110658</v>
      </c>
      <c r="M17" s="19">
        <v>102105</v>
      </c>
      <c r="N17" s="123">
        <f t="shared" si="5"/>
        <v>0.92270780241826167</v>
      </c>
      <c r="O17" s="222">
        <v>111658</v>
      </c>
      <c r="P17" s="144">
        <v>111658</v>
      </c>
      <c r="Q17" s="19">
        <f>+R17-M17</f>
        <v>5332</v>
      </c>
      <c r="R17" s="19">
        <v>107437</v>
      </c>
      <c r="S17" s="30">
        <f t="shared" si="3"/>
        <v>4.7752959931218544E-2</v>
      </c>
      <c r="T17" s="123">
        <f t="shared" si="2"/>
        <v>0.96219706604094646</v>
      </c>
      <c r="U17" s="236">
        <v>112658</v>
      </c>
      <c r="V17" s="36">
        <v>112658</v>
      </c>
      <c r="W17" s="66">
        <v>112959</v>
      </c>
      <c r="X17" s="66">
        <v>112959</v>
      </c>
      <c r="Y17" s="30">
        <f t="shared" si="1"/>
        <v>1.0026718031564559</v>
      </c>
      <c r="Z17" s="30">
        <f t="shared" si="6"/>
        <v>1.0026718031564559</v>
      </c>
      <c r="AA17" s="123" t="s">
        <v>146</v>
      </c>
      <c r="AB17" s="257">
        <v>113658</v>
      </c>
      <c r="AC17" s="35">
        <f t="shared" si="4"/>
        <v>113658</v>
      </c>
      <c r="AD17" s="165"/>
      <c r="AE17" s="165"/>
      <c r="AF17" s="165"/>
      <c r="AG17" s="165"/>
      <c r="AH17" s="165">
        <f>+AC17-X17</f>
        <v>699</v>
      </c>
      <c r="AI17" s="70" t="s">
        <v>154</v>
      </c>
      <c r="AJ17" s="270" t="s">
        <v>92</v>
      </c>
      <c r="AK17" s="165"/>
      <c r="AL17" s="173" t="s">
        <v>222</v>
      </c>
    </row>
    <row r="18" spans="1:38" ht="150" hidden="1" x14ac:dyDescent="0.25">
      <c r="A18" s="196" t="s">
        <v>110</v>
      </c>
      <c r="B18" s="46" t="s">
        <v>101</v>
      </c>
      <c r="C18" s="59" t="s">
        <v>123</v>
      </c>
      <c r="D18" s="46" t="s">
        <v>211</v>
      </c>
      <c r="E18" s="3" t="s">
        <v>15</v>
      </c>
      <c r="F18" s="46" t="s">
        <v>175</v>
      </c>
      <c r="G18" s="46" t="s">
        <v>177</v>
      </c>
      <c r="H18" s="46" t="s">
        <v>184</v>
      </c>
      <c r="I18" s="59" t="s">
        <v>194</v>
      </c>
      <c r="J18" s="29">
        <v>311</v>
      </c>
      <c r="K18" s="200">
        <v>251</v>
      </c>
      <c r="L18" s="49">
        <v>275</v>
      </c>
      <c r="M18" s="18">
        <v>247</v>
      </c>
      <c r="N18" s="123">
        <f t="shared" si="5"/>
        <v>0.89818181818181819</v>
      </c>
      <c r="O18" s="161">
        <v>275</v>
      </c>
      <c r="P18" s="232">
        <v>275</v>
      </c>
      <c r="Q18" s="19">
        <f>+R18-M18</f>
        <v>3</v>
      </c>
      <c r="R18" s="18">
        <v>250</v>
      </c>
      <c r="S18" s="30">
        <f t="shared" si="3"/>
        <v>1.090909090909091E-2</v>
      </c>
      <c r="T18" s="123">
        <f t="shared" si="2"/>
        <v>0.90909090909090906</v>
      </c>
      <c r="U18" s="56">
        <v>299</v>
      </c>
      <c r="V18" s="36">
        <v>299</v>
      </c>
      <c r="W18" s="54">
        <v>242</v>
      </c>
      <c r="X18" s="66">
        <v>242</v>
      </c>
      <c r="Y18" s="30">
        <f t="shared" si="1"/>
        <v>0.80936454849498329</v>
      </c>
      <c r="Z18" s="30">
        <f t="shared" si="6"/>
        <v>0.80936454849498329</v>
      </c>
      <c r="AA18" s="123" t="s">
        <v>146</v>
      </c>
      <c r="AB18" s="255">
        <v>311</v>
      </c>
      <c r="AC18" s="35">
        <f t="shared" si="4"/>
        <v>311</v>
      </c>
      <c r="AD18" s="165"/>
      <c r="AE18" s="165"/>
      <c r="AF18" s="165"/>
      <c r="AG18" s="165"/>
      <c r="AH18" s="165">
        <f>+AC18-X18</f>
        <v>69</v>
      </c>
      <c r="AI18" s="70" t="s">
        <v>154</v>
      </c>
      <c r="AJ18" s="270" t="s">
        <v>92</v>
      </c>
      <c r="AK18" s="165"/>
      <c r="AL18" s="68"/>
    </row>
    <row r="19" spans="1:38" ht="150" hidden="1" x14ac:dyDescent="0.25">
      <c r="A19" s="196" t="s">
        <v>110</v>
      </c>
      <c r="B19" s="46" t="s">
        <v>101</v>
      </c>
      <c r="C19" s="59" t="s">
        <v>123</v>
      </c>
      <c r="D19" s="46" t="s">
        <v>211</v>
      </c>
      <c r="E19" s="3" t="s">
        <v>16</v>
      </c>
      <c r="F19" s="46" t="s">
        <v>185</v>
      </c>
      <c r="G19" s="46" t="s">
        <v>177</v>
      </c>
      <c r="H19" s="46" t="s">
        <v>190</v>
      </c>
      <c r="I19" s="59" t="s">
        <v>186</v>
      </c>
      <c r="J19" s="186">
        <v>0.78320000000000001</v>
      </c>
      <c r="K19" s="201">
        <v>0.73309999999999997</v>
      </c>
      <c r="L19" s="47">
        <v>0.75700000000000001</v>
      </c>
      <c r="M19" s="32">
        <v>0.73450000000000004</v>
      </c>
      <c r="N19" s="123">
        <f>+M19/L19</f>
        <v>0.97027741083223251</v>
      </c>
      <c r="O19" s="158">
        <v>0.75719999999999998</v>
      </c>
      <c r="P19" s="48">
        <v>0.75719999999999998</v>
      </c>
      <c r="Q19" s="32">
        <v>0.73399999999999999</v>
      </c>
      <c r="R19" s="32">
        <v>0.73399999999999999</v>
      </c>
      <c r="S19" s="30">
        <f t="shared" si="3"/>
        <v>0.96936080295826732</v>
      </c>
      <c r="T19" s="123">
        <f>+R19/$P19</f>
        <v>0.96936080295826732</v>
      </c>
      <c r="U19" s="51">
        <v>0.7681</v>
      </c>
      <c r="V19" s="34">
        <v>0.7681</v>
      </c>
      <c r="W19" s="325">
        <v>0.73160000000000003</v>
      </c>
      <c r="X19" s="60">
        <v>0.73160000000000003</v>
      </c>
      <c r="Y19" s="30">
        <f t="shared" si="1"/>
        <v>0.95248014581434715</v>
      </c>
      <c r="Z19" s="30">
        <f t="shared" si="6"/>
        <v>0.95248014581434715</v>
      </c>
      <c r="AA19" s="123" t="s">
        <v>146</v>
      </c>
      <c r="AB19" s="252">
        <v>0.78320000000000001</v>
      </c>
      <c r="AC19" s="33">
        <f t="shared" si="4"/>
        <v>0.78320000000000001</v>
      </c>
      <c r="AD19" s="168"/>
      <c r="AE19" s="168"/>
      <c r="AF19" s="168"/>
      <c r="AG19" s="168"/>
      <c r="AH19" s="168">
        <v>0.78320000000000001</v>
      </c>
      <c r="AI19" s="70" t="s">
        <v>154</v>
      </c>
      <c r="AJ19" s="270" t="s">
        <v>92</v>
      </c>
      <c r="AK19" s="168"/>
      <c r="AL19" s="173" t="s">
        <v>223</v>
      </c>
    </row>
    <row r="20" spans="1:38" ht="195" hidden="1" x14ac:dyDescent="0.25">
      <c r="A20" s="196" t="s">
        <v>110</v>
      </c>
      <c r="B20" s="46" t="s">
        <v>101</v>
      </c>
      <c r="C20" s="59" t="s">
        <v>123</v>
      </c>
      <c r="D20" s="46" t="s">
        <v>211</v>
      </c>
      <c r="E20" s="3" t="s">
        <v>17</v>
      </c>
      <c r="F20" s="46" t="s">
        <v>175</v>
      </c>
      <c r="G20" s="46" t="s">
        <v>177</v>
      </c>
      <c r="H20" s="46" t="s">
        <v>184</v>
      </c>
      <c r="I20" s="59" t="s">
        <v>193</v>
      </c>
      <c r="J20" s="29">
        <v>366740</v>
      </c>
      <c r="K20" s="202">
        <v>362740</v>
      </c>
      <c r="L20" s="49">
        <v>363740</v>
      </c>
      <c r="M20" s="19">
        <v>336068</v>
      </c>
      <c r="N20" s="123">
        <f t="shared" si="5"/>
        <v>0.92392368175070105</v>
      </c>
      <c r="O20" s="161">
        <v>364740</v>
      </c>
      <c r="P20" s="144">
        <v>364740</v>
      </c>
      <c r="Q20" s="19">
        <f>+R20-M20</f>
        <v>-413</v>
      </c>
      <c r="R20" s="19">
        <v>335655</v>
      </c>
      <c r="S20" s="30">
        <f t="shared" si="3"/>
        <v>-1.1323134287437627E-3</v>
      </c>
      <c r="T20" s="123">
        <f t="shared" si="2"/>
        <v>0.92025826616219775</v>
      </c>
      <c r="U20" s="56">
        <v>365740</v>
      </c>
      <c r="V20" s="36">
        <v>365740</v>
      </c>
      <c r="W20" s="66">
        <v>327111</v>
      </c>
      <c r="X20" s="66">
        <v>327111</v>
      </c>
      <c r="Y20" s="30">
        <f t="shared" si="1"/>
        <v>0.89438125444304695</v>
      </c>
      <c r="Z20" s="30">
        <f t="shared" si="6"/>
        <v>0.89438125444304695</v>
      </c>
      <c r="AA20" s="123" t="s">
        <v>146</v>
      </c>
      <c r="AB20" s="255">
        <v>366740</v>
      </c>
      <c r="AC20" s="35">
        <f t="shared" si="4"/>
        <v>366740</v>
      </c>
      <c r="AD20" s="165"/>
      <c r="AE20" s="165"/>
      <c r="AF20" s="165"/>
      <c r="AG20" s="165"/>
      <c r="AH20" s="165">
        <f>+AC20-X20</f>
        <v>39629</v>
      </c>
      <c r="AI20" s="70" t="s">
        <v>154</v>
      </c>
      <c r="AJ20" s="270" t="s">
        <v>92</v>
      </c>
      <c r="AK20" s="165"/>
      <c r="AL20" s="173" t="s">
        <v>224</v>
      </c>
    </row>
    <row r="21" spans="1:38" ht="150" hidden="1" x14ac:dyDescent="0.25">
      <c r="A21" s="196" t="s">
        <v>110</v>
      </c>
      <c r="B21" s="46" t="s">
        <v>101</v>
      </c>
      <c r="C21" s="59" t="s">
        <v>123</v>
      </c>
      <c r="D21" s="46" t="s">
        <v>211</v>
      </c>
      <c r="E21" s="3" t="s">
        <v>18</v>
      </c>
      <c r="F21" s="46" t="s">
        <v>175</v>
      </c>
      <c r="G21" s="46" t="s">
        <v>177</v>
      </c>
      <c r="H21" s="46" t="s">
        <v>184</v>
      </c>
      <c r="I21" s="59" t="s">
        <v>194</v>
      </c>
      <c r="J21" s="29">
        <v>5915</v>
      </c>
      <c r="K21" s="200">
        <v>5515</v>
      </c>
      <c r="L21" s="49">
        <v>5615</v>
      </c>
      <c r="M21" s="16">
        <v>5661</v>
      </c>
      <c r="N21" s="123">
        <f t="shared" si="5"/>
        <v>1.0081923419412289</v>
      </c>
      <c r="O21" s="161">
        <v>5715</v>
      </c>
      <c r="P21" s="144">
        <v>5715</v>
      </c>
      <c r="Q21" s="19">
        <f>+R21-M21</f>
        <v>41</v>
      </c>
      <c r="R21" s="19">
        <v>5702</v>
      </c>
      <c r="S21" s="30">
        <f t="shared" si="3"/>
        <v>7.1741032370953627E-3</v>
      </c>
      <c r="T21" s="123">
        <f t="shared" si="2"/>
        <v>0.99772528433945762</v>
      </c>
      <c r="U21" s="56">
        <v>5815</v>
      </c>
      <c r="V21" s="36">
        <v>5815</v>
      </c>
      <c r="W21" s="66">
        <v>5654</v>
      </c>
      <c r="X21" s="66">
        <v>5654</v>
      </c>
      <c r="Y21" s="30">
        <f t="shared" si="1"/>
        <v>0.97231298366294072</v>
      </c>
      <c r="Z21" s="30">
        <f t="shared" si="6"/>
        <v>0.97231298366294072</v>
      </c>
      <c r="AA21" s="123" t="s">
        <v>146</v>
      </c>
      <c r="AB21" s="255">
        <v>5915</v>
      </c>
      <c r="AC21" s="35">
        <f t="shared" si="4"/>
        <v>5915</v>
      </c>
      <c r="AD21" s="165"/>
      <c r="AE21" s="165"/>
      <c r="AF21" s="165"/>
      <c r="AG21" s="165"/>
      <c r="AH21" s="165">
        <f>+AC21-X21</f>
        <v>261</v>
      </c>
      <c r="AI21" s="70" t="s">
        <v>154</v>
      </c>
      <c r="AJ21" s="270" t="s">
        <v>92</v>
      </c>
      <c r="AK21" s="165"/>
      <c r="AL21" s="68"/>
    </row>
    <row r="22" spans="1:38" ht="150" hidden="1" x14ac:dyDescent="0.25">
      <c r="A22" s="196" t="s">
        <v>110</v>
      </c>
      <c r="B22" s="46" t="s">
        <v>101</v>
      </c>
      <c r="C22" s="59" t="s">
        <v>123</v>
      </c>
      <c r="D22" s="46" t="s">
        <v>211</v>
      </c>
      <c r="E22" s="3" t="s">
        <v>19</v>
      </c>
      <c r="F22" s="46" t="s">
        <v>185</v>
      </c>
      <c r="G22" s="46" t="s">
        <v>177</v>
      </c>
      <c r="H22" s="46" t="s">
        <v>184</v>
      </c>
      <c r="I22" s="59" t="s">
        <v>186</v>
      </c>
      <c r="J22" s="13">
        <v>0.91039999999999999</v>
      </c>
      <c r="K22" s="168">
        <v>0.83819999999999995</v>
      </c>
      <c r="L22" s="47">
        <v>0.86709999999999998</v>
      </c>
      <c r="M22" s="13">
        <v>0.83379999999999999</v>
      </c>
      <c r="N22" s="123">
        <f t="shared" si="5"/>
        <v>0.96159612501441583</v>
      </c>
      <c r="O22" s="158">
        <v>0.88149999999999995</v>
      </c>
      <c r="P22" s="48">
        <v>0.88149999999999995</v>
      </c>
      <c r="Q22" s="32">
        <v>0.84209999999999996</v>
      </c>
      <c r="R22" s="13">
        <v>0.84209999999999996</v>
      </c>
      <c r="S22" s="30">
        <f t="shared" si="3"/>
        <v>0.95530346001134436</v>
      </c>
      <c r="T22" s="123">
        <f>+R22/$P22</f>
        <v>0.95530346001134436</v>
      </c>
      <c r="U22" s="51">
        <v>0.86599999999999999</v>
      </c>
      <c r="V22" s="34">
        <v>0.86599999999999999</v>
      </c>
      <c r="W22" s="325">
        <v>0.82850000000000001</v>
      </c>
      <c r="X22" s="60">
        <v>0.82850000000000001</v>
      </c>
      <c r="Y22" s="30">
        <f t="shared" si="1"/>
        <v>0.95669745958429564</v>
      </c>
      <c r="Z22" s="30">
        <f t="shared" si="6"/>
        <v>0.95669745958429564</v>
      </c>
      <c r="AA22" s="123" t="s">
        <v>146</v>
      </c>
      <c r="AB22" s="252">
        <v>0.91039999999999999</v>
      </c>
      <c r="AC22" s="26">
        <f t="shared" si="4"/>
        <v>0.91039999999999999</v>
      </c>
      <c r="AD22" s="167"/>
      <c r="AE22" s="167"/>
      <c r="AF22" s="167"/>
      <c r="AG22" s="167"/>
      <c r="AH22" s="167">
        <v>0.91039999999999999</v>
      </c>
      <c r="AI22" s="70" t="s">
        <v>154</v>
      </c>
      <c r="AJ22" s="270" t="s">
        <v>92</v>
      </c>
      <c r="AK22" s="167"/>
      <c r="AL22" s="173" t="s">
        <v>225</v>
      </c>
    </row>
    <row r="23" spans="1:38" ht="97.5" hidden="1" customHeight="1" x14ac:dyDescent="0.25">
      <c r="A23" s="196" t="s">
        <v>110</v>
      </c>
      <c r="B23" s="46" t="s">
        <v>101</v>
      </c>
      <c r="C23" s="59" t="s">
        <v>124</v>
      </c>
      <c r="D23" s="46" t="s">
        <v>211</v>
      </c>
      <c r="E23" s="3" t="s">
        <v>20</v>
      </c>
      <c r="F23" s="46" t="s">
        <v>175</v>
      </c>
      <c r="G23" s="46" t="s">
        <v>177</v>
      </c>
      <c r="H23" s="46" t="s">
        <v>184</v>
      </c>
      <c r="I23" s="59" t="s">
        <v>194</v>
      </c>
      <c r="J23" s="29">
        <v>100</v>
      </c>
      <c r="K23" s="200">
        <v>0</v>
      </c>
      <c r="L23" s="49">
        <v>40</v>
      </c>
      <c r="M23" s="17">
        <v>97</v>
      </c>
      <c r="N23" s="123">
        <f t="shared" si="5"/>
        <v>2.4249999999999998</v>
      </c>
      <c r="O23" s="161">
        <v>60</v>
      </c>
      <c r="P23" s="232">
        <v>60</v>
      </c>
      <c r="Q23" s="19">
        <f>+R23-M23</f>
        <v>26</v>
      </c>
      <c r="R23" s="18">
        <v>123</v>
      </c>
      <c r="S23" s="30">
        <f t="shared" si="3"/>
        <v>0.43333333333333335</v>
      </c>
      <c r="T23" s="123">
        <f t="shared" si="2"/>
        <v>2.0499999999999998</v>
      </c>
      <c r="U23" s="56">
        <v>80</v>
      </c>
      <c r="V23" s="36">
        <v>80</v>
      </c>
      <c r="W23" s="310" t="s">
        <v>278</v>
      </c>
      <c r="X23" s="312" t="s">
        <v>278</v>
      </c>
      <c r="Y23" s="30" t="e">
        <f t="shared" si="1"/>
        <v>#VALUE!</v>
      </c>
      <c r="Z23" s="30" t="e">
        <f t="shared" si="6"/>
        <v>#VALUE!</v>
      </c>
      <c r="AA23" s="123" t="s">
        <v>115</v>
      </c>
      <c r="AB23" s="258">
        <v>100</v>
      </c>
      <c r="AC23" s="35">
        <f t="shared" si="4"/>
        <v>100</v>
      </c>
      <c r="AD23" s="165"/>
      <c r="AE23" s="165"/>
      <c r="AF23" s="165"/>
      <c r="AG23" s="165"/>
      <c r="AH23" s="165" t="e">
        <f>+AC23-X23</f>
        <v>#VALUE!</v>
      </c>
      <c r="AI23" s="70"/>
      <c r="AJ23" s="270"/>
      <c r="AK23" s="165"/>
      <c r="AL23" s="68"/>
    </row>
    <row r="24" spans="1:38" ht="285" hidden="1" x14ac:dyDescent="0.25">
      <c r="A24" s="196" t="s">
        <v>110</v>
      </c>
      <c r="B24" s="46" t="s">
        <v>101</v>
      </c>
      <c r="C24" s="59" t="s">
        <v>123</v>
      </c>
      <c r="D24" s="46" t="s">
        <v>211</v>
      </c>
      <c r="E24" s="3" t="s">
        <v>21</v>
      </c>
      <c r="F24" s="46" t="s">
        <v>185</v>
      </c>
      <c r="G24" s="46" t="s">
        <v>177</v>
      </c>
      <c r="H24" s="46" t="s">
        <v>184</v>
      </c>
      <c r="I24" s="59" t="s">
        <v>186</v>
      </c>
      <c r="J24" s="13">
        <v>0.189</v>
      </c>
      <c r="K24" s="168">
        <v>0.16930000000000001</v>
      </c>
      <c r="L24" s="47">
        <v>0.17399999999999999</v>
      </c>
      <c r="M24" s="13">
        <v>0.1981</v>
      </c>
      <c r="N24" s="123">
        <f t="shared" si="5"/>
        <v>1.1385057471264368</v>
      </c>
      <c r="O24" s="158">
        <v>0.17899999999999999</v>
      </c>
      <c r="P24" s="48">
        <v>0.17899999999999999</v>
      </c>
      <c r="Q24" s="32">
        <v>0</v>
      </c>
      <c r="R24" s="106">
        <v>0</v>
      </c>
      <c r="S24" s="30">
        <f t="shared" si="3"/>
        <v>0</v>
      </c>
      <c r="T24" s="123">
        <f>+R24/$P24</f>
        <v>0</v>
      </c>
      <c r="U24" s="51">
        <v>0.184</v>
      </c>
      <c r="V24" s="34">
        <v>0.184</v>
      </c>
      <c r="W24" s="90" t="s">
        <v>278</v>
      </c>
      <c r="X24" s="89" t="s">
        <v>278</v>
      </c>
      <c r="Y24" s="30" t="e">
        <f t="shared" si="1"/>
        <v>#VALUE!</v>
      </c>
      <c r="Z24" s="30" t="e">
        <f t="shared" si="6"/>
        <v>#VALUE!</v>
      </c>
      <c r="AA24" s="123" t="s">
        <v>147</v>
      </c>
      <c r="AB24" s="252">
        <v>0.189</v>
      </c>
      <c r="AC24" s="26">
        <f t="shared" si="4"/>
        <v>0.189</v>
      </c>
      <c r="AD24" s="167"/>
      <c r="AE24" s="167"/>
      <c r="AF24" s="167"/>
      <c r="AG24" s="167"/>
      <c r="AH24" s="167" t="e">
        <f>+AC24-X24</f>
        <v>#VALUE!</v>
      </c>
      <c r="AI24" s="70" t="s">
        <v>154</v>
      </c>
      <c r="AJ24" s="270" t="s">
        <v>94</v>
      </c>
      <c r="AK24" s="167"/>
      <c r="AL24" s="68"/>
    </row>
    <row r="25" spans="1:38" ht="150" hidden="1" x14ac:dyDescent="0.25">
      <c r="A25" s="196" t="s">
        <v>110</v>
      </c>
      <c r="B25" s="46" t="s">
        <v>101</v>
      </c>
      <c r="C25" s="59" t="s">
        <v>123</v>
      </c>
      <c r="D25" s="46" t="s">
        <v>211</v>
      </c>
      <c r="E25" s="3" t="s">
        <v>22</v>
      </c>
      <c r="F25" s="46" t="s">
        <v>175</v>
      </c>
      <c r="G25" s="46" t="s">
        <v>177</v>
      </c>
      <c r="H25" s="46" t="s">
        <v>184</v>
      </c>
      <c r="I25" s="59" t="s">
        <v>194</v>
      </c>
      <c r="J25" s="29">
        <v>812</v>
      </c>
      <c r="K25" s="200">
        <v>784</v>
      </c>
      <c r="L25" s="49">
        <v>796</v>
      </c>
      <c r="M25" s="11">
        <v>782</v>
      </c>
      <c r="N25" s="123">
        <f t="shared" si="5"/>
        <v>0.98241206030150752</v>
      </c>
      <c r="O25" s="161">
        <v>801</v>
      </c>
      <c r="P25" s="232">
        <v>801</v>
      </c>
      <c r="Q25" s="19">
        <f>+R25-M25</f>
        <v>19</v>
      </c>
      <c r="R25" s="11">
        <v>801</v>
      </c>
      <c r="S25" s="30">
        <f t="shared" si="3"/>
        <v>2.3720349563046191E-2</v>
      </c>
      <c r="T25" s="123">
        <f t="shared" si="2"/>
        <v>1</v>
      </c>
      <c r="U25" s="56">
        <v>807</v>
      </c>
      <c r="V25" s="36">
        <v>807</v>
      </c>
      <c r="W25" s="54">
        <v>800</v>
      </c>
      <c r="X25" s="66">
        <v>800</v>
      </c>
      <c r="Y25" s="30">
        <f t="shared" si="1"/>
        <v>0.99132589838909546</v>
      </c>
      <c r="Z25" s="30">
        <f t="shared" si="6"/>
        <v>0.99132589838909546</v>
      </c>
      <c r="AA25" s="123" t="s">
        <v>146</v>
      </c>
      <c r="AB25" s="255">
        <v>812</v>
      </c>
      <c r="AC25" s="35">
        <f t="shared" si="4"/>
        <v>812</v>
      </c>
      <c r="AD25" s="165"/>
      <c r="AE25" s="165"/>
      <c r="AF25" s="165"/>
      <c r="AG25" s="165"/>
      <c r="AH25" s="165">
        <f>+AC25-X25</f>
        <v>12</v>
      </c>
      <c r="AI25" s="70" t="s">
        <v>154</v>
      </c>
      <c r="AJ25" s="270" t="s">
        <v>92</v>
      </c>
      <c r="AK25" s="165"/>
      <c r="AL25" s="68"/>
    </row>
    <row r="26" spans="1:38" ht="150" hidden="1" x14ac:dyDescent="0.25">
      <c r="A26" s="196" t="s">
        <v>110</v>
      </c>
      <c r="B26" s="46" t="s">
        <v>101</v>
      </c>
      <c r="C26" s="59" t="s">
        <v>123</v>
      </c>
      <c r="D26" s="46" t="s">
        <v>211</v>
      </c>
      <c r="E26" s="3" t="s">
        <v>23</v>
      </c>
      <c r="F26" s="46" t="s">
        <v>185</v>
      </c>
      <c r="G26" s="46" t="s">
        <v>177</v>
      </c>
      <c r="H26" s="46" t="s">
        <v>184</v>
      </c>
      <c r="I26" s="59" t="s">
        <v>186</v>
      </c>
      <c r="J26" s="187">
        <v>0.77090000000000003</v>
      </c>
      <c r="K26" s="201">
        <v>0.72860000000000003</v>
      </c>
      <c r="L26" s="47">
        <v>0.74319999999999997</v>
      </c>
      <c r="M26" s="13">
        <v>0.73050000000000004</v>
      </c>
      <c r="N26" s="123">
        <f t="shared" si="5"/>
        <v>0.98291173304628643</v>
      </c>
      <c r="O26" s="158">
        <v>0.74990000000000001</v>
      </c>
      <c r="P26" s="48">
        <v>0.74990000000000001</v>
      </c>
      <c r="Q26" s="32">
        <v>0.76849999999999996</v>
      </c>
      <c r="R26" s="13">
        <v>0.76849999999999996</v>
      </c>
      <c r="S26" s="30">
        <f t="shared" si="3"/>
        <v>1.0248033071076144</v>
      </c>
      <c r="T26" s="123">
        <f>+R26/$P26</f>
        <v>1.0248033071076144</v>
      </c>
      <c r="U26" s="51">
        <v>0.76139999999999997</v>
      </c>
      <c r="V26" s="34">
        <v>0.76139999999999997</v>
      </c>
      <c r="W26" s="325">
        <v>0.7772</v>
      </c>
      <c r="X26" s="60">
        <v>0.7772</v>
      </c>
      <c r="Y26" s="30">
        <f t="shared" si="1"/>
        <v>1.0207512477016023</v>
      </c>
      <c r="Z26" s="30">
        <f t="shared" si="6"/>
        <v>1.0207512477016023</v>
      </c>
      <c r="AA26" s="123" t="s">
        <v>146</v>
      </c>
      <c r="AB26" s="252">
        <v>0.77090000000000003</v>
      </c>
      <c r="AC26" s="26">
        <f t="shared" si="4"/>
        <v>0.77090000000000003</v>
      </c>
      <c r="AD26" s="167"/>
      <c r="AE26" s="167"/>
      <c r="AF26" s="167"/>
      <c r="AG26" s="167"/>
      <c r="AH26" s="167">
        <v>0.77090000000000003</v>
      </c>
      <c r="AI26" s="70" t="s">
        <v>154</v>
      </c>
      <c r="AJ26" s="270" t="s">
        <v>92</v>
      </c>
      <c r="AK26" s="167"/>
      <c r="AL26" s="173" t="s">
        <v>226</v>
      </c>
    </row>
    <row r="27" spans="1:38" ht="360" hidden="1" x14ac:dyDescent="0.25">
      <c r="A27" s="196" t="s">
        <v>110</v>
      </c>
      <c r="B27" s="46" t="s">
        <v>101</v>
      </c>
      <c r="C27" s="59" t="s">
        <v>123</v>
      </c>
      <c r="D27" s="46" t="s">
        <v>211</v>
      </c>
      <c r="E27" s="3" t="s">
        <v>24</v>
      </c>
      <c r="F27" s="46" t="s">
        <v>175</v>
      </c>
      <c r="G27" s="46" t="s">
        <v>177</v>
      </c>
      <c r="H27" s="46" t="s">
        <v>184</v>
      </c>
      <c r="I27" s="59" t="s">
        <v>193</v>
      </c>
      <c r="J27" s="29">
        <v>582001</v>
      </c>
      <c r="K27" s="202">
        <v>432372</v>
      </c>
      <c r="L27" s="49">
        <v>494798</v>
      </c>
      <c r="M27" s="19">
        <v>397378</v>
      </c>
      <c r="N27" s="123">
        <f t="shared" si="5"/>
        <v>0.80311157280344703</v>
      </c>
      <c r="O27" s="161">
        <v>496798</v>
      </c>
      <c r="P27" s="144">
        <v>496798</v>
      </c>
      <c r="Q27" s="19">
        <f>+R27-M27</f>
        <v>22480</v>
      </c>
      <c r="R27" s="19">
        <v>419858</v>
      </c>
      <c r="S27" s="30">
        <f t="shared" si="3"/>
        <v>4.5249779588484654E-2</v>
      </c>
      <c r="T27" s="123">
        <f t="shared" si="2"/>
        <v>0.84512820099919883</v>
      </c>
      <c r="U27" s="56">
        <v>498798</v>
      </c>
      <c r="V27" s="36">
        <v>498798</v>
      </c>
      <c r="W27" s="66">
        <v>404271</v>
      </c>
      <c r="X27" s="66">
        <v>404271</v>
      </c>
      <c r="Y27" s="30">
        <f t="shared" si="1"/>
        <v>0.81049041896719709</v>
      </c>
      <c r="Z27" s="30">
        <f t="shared" si="6"/>
        <v>0.81049041896719709</v>
      </c>
      <c r="AA27" s="123" t="s">
        <v>146</v>
      </c>
      <c r="AB27" s="255">
        <v>582001</v>
      </c>
      <c r="AC27" s="35">
        <f t="shared" si="4"/>
        <v>582001</v>
      </c>
      <c r="AD27" s="165"/>
      <c r="AE27" s="165"/>
      <c r="AF27" s="165"/>
      <c r="AG27" s="165"/>
      <c r="AH27" s="165">
        <f>+AC27-X27</f>
        <v>177730</v>
      </c>
      <c r="AI27" s="70" t="s">
        <v>154</v>
      </c>
      <c r="AJ27" s="270" t="s">
        <v>92</v>
      </c>
      <c r="AK27" s="165"/>
      <c r="AL27" s="173" t="s">
        <v>227</v>
      </c>
    </row>
    <row r="28" spans="1:38" ht="150" hidden="1" x14ac:dyDescent="0.25">
      <c r="A28" s="248" t="s">
        <v>110</v>
      </c>
      <c r="B28" s="46" t="s">
        <v>101</v>
      </c>
      <c r="C28" s="59" t="s">
        <v>123</v>
      </c>
      <c r="D28" s="46" t="s">
        <v>211</v>
      </c>
      <c r="E28" s="3" t="s">
        <v>25</v>
      </c>
      <c r="F28" s="46" t="s">
        <v>191</v>
      </c>
      <c r="G28" s="46" t="s">
        <v>177</v>
      </c>
      <c r="H28" s="46" t="s">
        <v>190</v>
      </c>
      <c r="I28" s="59" t="s">
        <v>194</v>
      </c>
      <c r="J28" s="29">
        <v>3869</v>
      </c>
      <c r="K28" s="200">
        <v>5258</v>
      </c>
      <c r="L28" s="49">
        <v>3794</v>
      </c>
      <c r="M28" s="16">
        <v>3832</v>
      </c>
      <c r="N28" s="249">
        <f>+M28/L28</f>
        <v>1.0100158144438587</v>
      </c>
      <c r="O28" s="161">
        <v>3819</v>
      </c>
      <c r="P28" s="144">
        <v>3819</v>
      </c>
      <c r="Q28" s="27">
        <v>4042</v>
      </c>
      <c r="R28" s="27">
        <v>4042</v>
      </c>
      <c r="S28" s="30">
        <f t="shared" si="3"/>
        <v>1.0583922492799163</v>
      </c>
      <c r="T28" s="123">
        <f t="shared" si="2"/>
        <v>1.0583922492799163</v>
      </c>
      <c r="U28" s="56">
        <v>3844</v>
      </c>
      <c r="V28" s="36">
        <v>3844</v>
      </c>
      <c r="W28" s="66">
        <v>4525</v>
      </c>
      <c r="X28" s="66">
        <v>4525</v>
      </c>
      <c r="Y28" s="30">
        <f t="shared" si="1"/>
        <v>1.1771592091571279</v>
      </c>
      <c r="Z28" s="30">
        <f t="shared" si="6"/>
        <v>1.1771592091571279</v>
      </c>
      <c r="AA28" s="123" t="s">
        <v>146</v>
      </c>
      <c r="AB28" s="258">
        <v>3869</v>
      </c>
      <c r="AC28" s="35">
        <f t="shared" si="4"/>
        <v>3869</v>
      </c>
      <c r="AD28" s="165"/>
      <c r="AE28" s="165"/>
      <c r="AF28" s="165"/>
      <c r="AG28" s="165"/>
      <c r="AH28" s="165">
        <v>0</v>
      </c>
      <c r="AI28" s="70" t="s">
        <v>154</v>
      </c>
      <c r="AJ28" s="270" t="s">
        <v>92</v>
      </c>
      <c r="AK28" s="165"/>
      <c r="AL28" s="68"/>
    </row>
    <row r="29" spans="1:38" ht="405" hidden="1" x14ac:dyDescent="0.25">
      <c r="A29" s="248" t="s">
        <v>110</v>
      </c>
      <c r="B29" s="46" t="s">
        <v>101</v>
      </c>
      <c r="C29" s="59" t="s">
        <v>123</v>
      </c>
      <c r="D29" s="46" t="s">
        <v>211</v>
      </c>
      <c r="E29" s="78" t="s">
        <v>26</v>
      </c>
      <c r="F29" s="46" t="s">
        <v>191</v>
      </c>
      <c r="G29" s="46" t="s">
        <v>177</v>
      </c>
      <c r="H29" s="46" t="s">
        <v>187</v>
      </c>
      <c r="I29" s="59" t="s">
        <v>195</v>
      </c>
      <c r="J29" s="239">
        <v>553408</v>
      </c>
      <c r="K29" s="202">
        <v>690512</v>
      </c>
      <c r="L29" s="211">
        <v>669101</v>
      </c>
      <c r="M29" s="19">
        <v>670974</v>
      </c>
      <c r="N29" s="123">
        <f>(K29-M29)/(K29-L29)</f>
        <v>0.91252160104619118</v>
      </c>
      <c r="O29" s="222">
        <v>639206</v>
      </c>
      <c r="P29" s="144">
        <v>639206</v>
      </c>
      <c r="Q29" s="27">
        <v>667431</v>
      </c>
      <c r="R29" s="19">
        <v>667431</v>
      </c>
      <c r="S29" s="30">
        <f>+(K29-Q29)/(K29-O29)</f>
        <v>0.44986941098507</v>
      </c>
      <c r="T29" s="123">
        <f>+(K29-R29)/(K29-J29)</f>
        <v>0.16834665655268993</v>
      </c>
      <c r="U29" s="236">
        <v>603443</v>
      </c>
      <c r="V29" s="36">
        <v>603443</v>
      </c>
      <c r="W29" s="81" t="s">
        <v>278</v>
      </c>
      <c r="X29" s="312" t="s">
        <v>278</v>
      </c>
      <c r="Y29" s="30" t="e">
        <f>+(K29-W29)/(K29-U29)</f>
        <v>#VALUE!</v>
      </c>
      <c r="Z29" s="30" t="e">
        <f>(K29-X29)/(K29-V29)</f>
        <v>#VALUE!</v>
      </c>
      <c r="AA29" s="123" t="s">
        <v>146</v>
      </c>
      <c r="AB29" s="257">
        <v>553408</v>
      </c>
      <c r="AC29" s="36">
        <f t="shared" si="4"/>
        <v>553408</v>
      </c>
      <c r="AD29" s="162"/>
      <c r="AE29" s="162"/>
      <c r="AF29" s="30">
        <f>(K29-AD29)/(K29-AB29)</f>
        <v>5.0364103162562728</v>
      </c>
      <c r="AG29" s="30">
        <f>+(K29-AE29)/(K29-AC29)</f>
        <v>5.0364103162562728</v>
      </c>
      <c r="AH29" s="162" t="e">
        <f>+AC29-X29</f>
        <v>#VALUE!</v>
      </c>
      <c r="AI29" s="70" t="s">
        <v>154</v>
      </c>
      <c r="AJ29" s="270" t="s">
        <v>92</v>
      </c>
      <c r="AK29" s="162"/>
      <c r="AL29" s="173" t="s">
        <v>228</v>
      </c>
    </row>
    <row r="30" spans="1:38" ht="213" hidden="1" customHeight="1" x14ac:dyDescent="0.25">
      <c r="A30" s="196" t="s">
        <v>110</v>
      </c>
      <c r="B30" s="46" t="s">
        <v>101</v>
      </c>
      <c r="C30" s="59" t="s">
        <v>124</v>
      </c>
      <c r="D30" s="46" t="s">
        <v>212</v>
      </c>
      <c r="E30" s="217" t="s">
        <v>27</v>
      </c>
      <c r="F30" s="46" t="s">
        <v>175</v>
      </c>
      <c r="G30" s="46" t="s">
        <v>178</v>
      </c>
      <c r="H30" s="46" t="s">
        <v>184</v>
      </c>
      <c r="I30" s="59" t="s">
        <v>196</v>
      </c>
      <c r="J30" s="29">
        <v>30693</v>
      </c>
      <c r="K30" s="200">
        <v>0</v>
      </c>
      <c r="L30" s="49">
        <v>1562</v>
      </c>
      <c r="M30" s="29">
        <v>1977</v>
      </c>
      <c r="N30" s="123">
        <f t="shared" si="5"/>
        <v>1.265685019206146</v>
      </c>
      <c r="O30" s="161">
        <v>2722</v>
      </c>
      <c r="P30" s="144">
        <f>+L30+O30</f>
        <v>4284</v>
      </c>
      <c r="Q30" s="27">
        <v>2234</v>
      </c>
      <c r="R30" s="303">
        <f>+Q30+M30</f>
        <v>4211</v>
      </c>
      <c r="S30" s="30">
        <f t="shared" ref="S30:S39" si="7">+Q30/O30</f>
        <v>0.82072005878030863</v>
      </c>
      <c r="T30" s="123">
        <f t="shared" si="2"/>
        <v>0.98295985060690938</v>
      </c>
      <c r="U30" s="56">
        <f>+V30-Q30</f>
        <v>8064</v>
      </c>
      <c r="V30" s="36">
        <v>10298</v>
      </c>
      <c r="W30" s="62">
        <v>2747</v>
      </c>
      <c r="X30" s="304">
        <f>+R30+W30</f>
        <v>6958</v>
      </c>
      <c r="Y30" s="30">
        <f t="shared" si="1"/>
        <v>0.34064980158730157</v>
      </c>
      <c r="Z30" s="30">
        <f t="shared" si="6"/>
        <v>0.67566517770440859</v>
      </c>
      <c r="AA30" s="123" t="s">
        <v>115</v>
      </c>
      <c r="AB30" s="255">
        <f>+AC30-V30</f>
        <v>20395</v>
      </c>
      <c r="AC30" s="35">
        <f t="shared" si="4"/>
        <v>30693</v>
      </c>
      <c r="AD30" s="165">
        <v>589</v>
      </c>
      <c r="AE30" s="299">
        <f>+X30+AD30</f>
        <v>7547</v>
      </c>
      <c r="AF30" s="30">
        <f>+AD30/AB30</f>
        <v>2.8879627359646973E-2</v>
      </c>
      <c r="AG30" s="30">
        <f>+AE30/AC30</f>
        <v>0.24588668426025478</v>
      </c>
      <c r="AH30" s="165">
        <f>+AC30-AE30</f>
        <v>23146</v>
      </c>
      <c r="AI30" s="298" t="s">
        <v>113</v>
      </c>
      <c r="AJ30" s="270" t="s">
        <v>95</v>
      </c>
      <c r="AK30" s="165"/>
      <c r="AL30" s="173" t="s">
        <v>229</v>
      </c>
    </row>
    <row r="31" spans="1:38" ht="390" hidden="1" x14ac:dyDescent="0.25">
      <c r="A31" s="248" t="s">
        <v>110</v>
      </c>
      <c r="B31" s="46" t="s">
        <v>101</v>
      </c>
      <c r="C31" s="59" t="s">
        <v>123</v>
      </c>
      <c r="D31" s="46" t="s">
        <v>211</v>
      </c>
      <c r="E31" s="2" t="s">
        <v>28</v>
      </c>
      <c r="F31" s="46" t="s">
        <v>175</v>
      </c>
      <c r="G31" s="46" t="s">
        <v>177</v>
      </c>
      <c r="H31" s="46" t="s">
        <v>190</v>
      </c>
      <c r="I31" s="59" t="s">
        <v>186</v>
      </c>
      <c r="J31" s="238">
        <v>0.7107</v>
      </c>
      <c r="K31" s="168">
        <v>0.61980000000000002</v>
      </c>
      <c r="L31" s="47">
        <v>0.5766</v>
      </c>
      <c r="M31" s="13">
        <v>0.58809999999999996</v>
      </c>
      <c r="N31" s="249">
        <f>+M31/L31</f>
        <v>1.0199445022545959</v>
      </c>
      <c r="O31" s="158">
        <v>0.5766</v>
      </c>
      <c r="P31" s="48">
        <v>0.5766</v>
      </c>
      <c r="Q31" s="32">
        <v>0.5706</v>
      </c>
      <c r="R31" s="13">
        <v>0.5706</v>
      </c>
      <c r="S31" s="32">
        <f t="shared" si="7"/>
        <v>0.98959417273673256</v>
      </c>
      <c r="T31" s="249">
        <f>+R31/$P31</f>
        <v>0.98959417273673256</v>
      </c>
      <c r="U31" s="51">
        <v>0.57720000000000005</v>
      </c>
      <c r="V31" s="34">
        <v>0.57720000000000005</v>
      </c>
      <c r="W31" s="325">
        <v>0.55569999999999997</v>
      </c>
      <c r="X31" s="60">
        <v>0.55569999999999997</v>
      </c>
      <c r="Y31" s="30">
        <f t="shared" si="1"/>
        <v>0.96275121275121267</v>
      </c>
      <c r="Z31" s="30">
        <f t="shared" si="6"/>
        <v>0.96275121275121267</v>
      </c>
      <c r="AA31" s="123" t="s">
        <v>146</v>
      </c>
      <c r="AB31" s="252">
        <v>0.57789999999999997</v>
      </c>
      <c r="AC31" s="26">
        <v>0.57789999999999997</v>
      </c>
      <c r="AD31" s="167"/>
      <c r="AE31" s="167"/>
      <c r="AF31" s="167"/>
      <c r="AG31" s="167"/>
      <c r="AH31" s="167">
        <v>0.7107</v>
      </c>
      <c r="AI31" s="70" t="s">
        <v>154</v>
      </c>
      <c r="AJ31" s="270" t="s">
        <v>92</v>
      </c>
      <c r="AK31" s="167"/>
      <c r="AL31" s="173" t="s">
        <v>230</v>
      </c>
    </row>
    <row r="32" spans="1:38" ht="110.25" hidden="1" customHeight="1" x14ac:dyDescent="0.25">
      <c r="A32" s="196" t="s">
        <v>111</v>
      </c>
      <c r="B32" s="46" t="s">
        <v>101</v>
      </c>
      <c r="C32" s="59" t="s">
        <v>127</v>
      </c>
      <c r="D32" s="46" t="s">
        <v>212</v>
      </c>
      <c r="E32" s="217" t="s">
        <v>29</v>
      </c>
      <c r="F32" s="46" t="s">
        <v>185</v>
      </c>
      <c r="G32" s="46" t="s">
        <v>180</v>
      </c>
      <c r="H32" s="46" t="s">
        <v>184</v>
      </c>
      <c r="I32" s="59" t="s">
        <v>183</v>
      </c>
      <c r="J32" s="9">
        <v>0.45</v>
      </c>
      <c r="K32" s="168">
        <v>0.33300000000000002</v>
      </c>
      <c r="L32" s="47">
        <v>0.34899999999999998</v>
      </c>
      <c r="M32" s="12">
        <v>0.34</v>
      </c>
      <c r="N32" s="123">
        <f t="shared" si="5"/>
        <v>0.97421203438395432</v>
      </c>
      <c r="O32" s="158">
        <v>0.36899999999999999</v>
      </c>
      <c r="P32" s="48">
        <v>0.36899999999999999</v>
      </c>
      <c r="Q32" s="15">
        <v>0.41399999999999998</v>
      </c>
      <c r="R32" s="15">
        <v>0.41399999999999998</v>
      </c>
      <c r="S32" s="30">
        <f t="shared" si="7"/>
        <v>1.121951219512195</v>
      </c>
      <c r="T32" s="123">
        <f t="shared" si="2"/>
        <v>1.121951219512195</v>
      </c>
      <c r="U32" s="125">
        <v>0.42099999999999999</v>
      </c>
      <c r="V32" s="34">
        <v>0.42099999999999999</v>
      </c>
      <c r="W32" s="301">
        <v>0.45400000000000001</v>
      </c>
      <c r="X32" s="301">
        <v>0.45400000000000001</v>
      </c>
      <c r="Y32" s="30">
        <f t="shared" si="1"/>
        <v>1.0783847980997625</v>
      </c>
      <c r="Z32" s="30">
        <f t="shared" si="6"/>
        <v>1.0783847980997625</v>
      </c>
      <c r="AA32" s="123"/>
      <c r="AB32" s="252">
        <v>0.45</v>
      </c>
      <c r="AC32" s="243">
        <f t="shared" ref="AC32:AC41" si="8">+J32</f>
        <v>0.45</v>
      </c>
      <c r="AD32" s="171">
        <v>0</v>
      </c>
      <c r="AE32" s="171">
        <v>0.45400000000000001</v>
      </c>
      <c r="AF32" s="168">
        <f>+AD32/AB32</f>
        <v>0</v>
      </c>
      <c r="AG32" s="168">
        <f>+AE32/AC32</f>
        <v>1.0088888888888889</v>
      </c>
      <c r="AH32" s="174">
        <f>+AC32-X32</f>
        <v>-4.0000000000000036E-3</v>
      </c>
      <c r="AI32" s="70"/>
      <c r="AJ32" s="270"/>
      <c r="AK32" s="174"/>
      <c r="AL32" s="68"/>
    </row>
    <row r="33" spans="1:41" ht="120" hidden="1" x14ac:dyDescent="0.25">
      <c r="A33" s="196" t="s">
        <v>111</v>
      </c>
      <c r="B33" s="46" t="s">
        <v>101</v>
      </c>
      <c r="C33" s="59" t="s">
        <v>127</v>
      </c>
      <c r="D33" s="46" t="s">
        <v>212</v>
      </c>
      <c r="E33" s="217" t="s">
        <v>30</v>
      </c>
      <c r="F33" s="46" t="s">
        <v>191</v>
      </c>
      <c r="G33" s="46" t="s">
        <v>177</v>
      </c>
      <c r="H33" s="46" t="s">
        <v>184</v>
      </c>
      <c r="I33" s="59" t="s">
        <v>183</v>
      </c>
      <c r="J33" s="9">
        <v>0.12</v>
      </c>
      <c r="K33" s="168">
        <v>0</v>
      </c>
      <c r="L33" s="47">
        <v>0.03</v>
      </c>
      <c r="M33" s="13">
        <v>2.9499999999999998E-2</v>
      </c>
      <c r="N33" s="123">
        <f t="shared" si="5"/>
        <v>0.98333333333333328</v>
      </c>
      <c r="O33" s="158">
        <v>0.06</v>
      </c>
      <c r="P33" s="48">
        <v>0.06</v>
      </c>
      <c r="Q33" s="13">
        <v>6.25E-2</v>
      </c>
      <c r="R33" s="291">
        <v>6.25E-2</v>
      </c>
      <c r="S33" s="30">
        <f t="shared" si="7"/>
        <v>1.0416666666666667</v>
      </c>
      <c r="T33" s="123">
        <f t="shared" si="2"/>
        <v>1.0416666666666667</v>
      </c>
      <c r="U33" s="125">
        <v>0.09</v>
      </c>
      <c r="V33" s="34">
        <v>0.09</v>
      </c>
      <c r="W33" s="313" t="s">
        <v>278</v>
      </c>
      <c r="X33" s="306" t="s">
        <v>278</v>
      </c>
      <c r="Y33" s="30" t="e">
        <f t="shared" si="1"/>
        <v>#VALUE!</v>
      </c>
      <c r="Z33" s="30" t="e">
        <f t="shared" si="6"/>
        <v>#VALUE!</v>
      </c>
      <c r="AA33" s="123" t="s">
        <v>146</v>
      </c>
      <c r="AB33" s="252">
        <v>0.12</v>
      </c>
      <c r="AC33" s="243">
        <f t="shared" si="8"/>
        <v>0.12</v>
      </c>
      <c r="AD33" s="168">
        <v>6.25E-2</v>
      </c>
      <c r="AE33" s="168">
        <v>6.25E-2</v>
      </c>
      <c r="AF33" s="174"/>
      <c r="AG33" s="174"/>
      <c r="AH33" s="174" t="e">
        <f>+AC33-X33</f>
        <v>#VALUE!</v>
      </c>
      <c r="AI33" s="70" t="s">
        <v>154</v>
      </c>
      <c r="AJ33" s="270"/>
      <c r="AK33" s="174"/>
      <c r="AL33" s="68"/>
    </row>
    <row r="34" spans="1:41" ht="240" hidden="1" x14ac:dyDescent="0.25">
      <c r="A34" s="196" t="s">
        <v>111</v>
      </c>
      <c r="B34" s="46" t="s">
        <v>101</v>
      </c>
      <c r="C34" s="59" t="s">
        <v>128</v>
      </c>
      <c r="D34" s="46" t="s">
        <v>211</v>
      </c>
      <c r="E34" s="2" t="s">
        <v>31</v>
      </c>
      <c r="F34" s="46" t="s">
        <v>185</v>
      </c>
      <c r="G34" s="46" t="s">
        <v>177</v>
      </c>
      <c r="H34" s="46" t="s">
        <v>184</v>
      </c>
      <c r="I34" s="59" t="s">
        <v>183</v>
      </c>
      <c r="J34" s="9">
        <v>0.08</v>
      </c>
      <c r="K34" s="168">
        <v>2.2599999999999999E-2</v>
      </c>
      <c r="L34" s="47">
        <v>0.03</v>
      </c>
      <c r="M34" s="15">
        <v>3.2000000000000001E-2</v>
      </c>
      <c r="N34" s="123">
        <f t="shared" si="5"/>
        <v>1.0666666666666667</v>
      </c>
      <c r="O34" s="158">
        <v>0.04</v>
      </c>
      <c r="P34" s="48">
        <v>0.04</v>
      </c>
      <c r="Q34" s="15">
        <f>+R34-M34</f>
        <v>2.4E-2</v>
      </c>
      <c r="R34" s="25">
        <v>5.6000000000000001E-2</v>
      </c>
      <c r="S34" s="30">
        <f t="shared" si="7"/>
        <v>0.6</v>
      </c>
      <c r="T34" s="123">
        <f t="shared" si="2"/>
        <v>1.4</v>
      </c>
      <c r="U34" s="125">
        <v>0.06</v>
      </c>
      <c r="V34" s="34">
        <v>0.06</v>
      </c>
      <c r="W34" s="319">
        <v>4.7500000000000001E-2</v>
      </c>
      <c r="X34" s="306">
        <v>4.7500000000000001E-2</v>
      </c>
      <c r="Y34" s="30">
        <f t="shared" si="1"/>
        <v>0.79166666666666674</v>
      </c>
      <c r="Z34" s="30">
        <f t="shared" si="6"/>
        <v>0.79166666666666674</v>
      </c>
      <c r="AA34" s="123" t="s">
        <v>118</v>
      </c>
      <c r="AB34" s="252">
        <v>0.08</v>
      </c>
      <c r="AC34" s="241">
        <f t="shared" si="8"/>
        <v>0.08</v>
      </c>
      <c r="AD34" s="174"/>
      <c r="AE34" s="174"/>
      <c r="AF34" s="174"/>
      <c r="AG34" s="174"/>
      <c r="AH34" s="174">
        <f>+AC34-X34</f>
        <v>3.2500000000000001E-2</v>
      </c>
      <c r="AI34" s="70" t="s">
        <v>113</v>
      </c>
      <c r="AJ34" s="271" t="s">
        <v>117</v>
      </c>
      <c r="AK34" s="174"/>
      <c r="AL34" s="68"/>
    </row>
    <row r="35" spans="1:41" ht="360" hidden="1" x14ac:dyDescent="0.25">
      <c r="A35" s="196" t="s">
        <v>111</v>
      </c>
      <c r="B35" s="46" t="s">
        <v>101</v>
      </c>
      <c r="C35" s="59" t="s">
        <v>129</v>
      </c>
      <c r="D35" s="46" t="s">
        <v>212</v>
      </c>
      <c r="E35" s="219" t="s">
        <v>32</v>
      </c>
      <c r="F35" s="46" t="s">
        <v>175</v>
      </c>
      <c r="G35" s="46" t="s">
        <v>178</v>
      </c>
      <c r="H35" s="46" t="s">
        <v>184</v>
      </c>
      <c r="I35" s="59" t="s">
        <v>183</v>
      </c>
      <c r="J35" s="188">
        <v>0.2</v>
      </c>
      <c r="K35" s="168">
        <v>0</v>
      </c>
      <c r="L35" s="47">
        <v>0.04</v>
      </c>
      <c r="M35" s="15">
        <v>4.6047929010066026E-2</v>
      </c>
      <c r="N35" s="123">
        <f t="shared" si="5"/>
        <v>1.1511982252516506</v>
      </c>
      <c r="O35" s="158">
        <v>0.09</v>
      </c>
      <c r="P35" s="48">
        <v>0.09</v>
      </c>
      <c r="Q35" s="13">
        <v>6.9900000000000004E-2</v>
      </c>
      <c r="R35" s="302">
        <v>6.9900000000000004E-2</v>
      </c>
      <c r="S35" s="30">
        <f t="shared" si="7"/>
        <v>0.77666666666666673</v>
      </c>
      <c r="T35" s="123">
        <f t="shared" si="2"/>
        <v>0.77666666666666673</v>
      </c>
      <c r="U35" s="125">
        <v>0.13</v>
      </c>
      <c r="V35" s="34">
        <v>0.13</v>
      </c>
      <c r="W35" s="301">
        <v>0.10009999999999999</v>
      </c>
      <c r="X35" s="301">
        <v>0.10009999999999999</v>
      </c>
      <c r="Y35" s="30">
        <f t="shared" si="1"/>
        <v>0.76999999999999991</v>
      </c>
      <c r="Z35" s="30">
        <f t="shared" si="6"/>
        <v>0.76999999999999991</v>
      </c>
      <c r="AA35" s="123" t="s">
        <v>115</v>
      </c>
      <c r="AB35" s="252">
        <v>0.2</v>
      </c>
      <c r="AC35" s="242">
        <f t="shared" si="8"/>
        <v>0.2</v>
      </c>
      <c r="AD35" s="167">
        <v>0.1077</v>
      </c>
      <c r="AE35" s="300">
        <v>0.1077</v>
      </c>
      <c r="AF35" s="30">
        <f>+AD35/AB35</f>
        <v>0.53849999999999998</v>
      </c>
      <c r="AG35" s="30">
        <f>+AE35/AC35</f>
        <v>0.53849999999999998</v>
      </c>
      <c r="AH35" s="168">
        <f>+AC35-AE35</f>
        <v>9.2300000000000007E-2</v>
      </c>
      <c r="AI35" s="298" t="s">
        <v>113</v>
      </c>
      <c r="AJ35" s="271" t="s">
        <v>119</v>
      </c>
      <c r="AK35" s="170"/>
      <c r="AL35" s="173" t="s">
        <v>231</v>
      </c>
      <c r="AM35" t="s">
        <v>273</v>
      </c>
    </row>
    <row r="36" spans="1:41" ht="102" hidden="1" customHeight="1" x14ac:dyDescent="0.25">
      <c r="A36" s="196" t="s">
        <v>111</v>
      </c>
      <c r="B36" s="46" t="s">
        <v>101</v>
      </c>
      <c r="C36" s="59" t="s">
        <v>130</v>
      </c>
      <c r="D36" s="46" t="s">
        <v>211</v>
      </c>
      <c r="E36" s="2" t="s">
        <v>33</v>
      </c>
      <c r="F36" s="46" t="s">
        <v>185</v>
      </c>
      <c r="G36" s="46" t="s">
        <v>177</v>
      </c>
      <c r="H36" s="46" t="s">
        <v>184</v>
      </c>
      <c r="I36" s="59" t="s">
        <v>183</v>
      </c>
      <c r="J36" s="10">
        <v>0.309</v>
      </c>
      <c r="K36" s="168">
        <v>0.27700000000000002</v>
      </c>
      <c r="L36" s="47">
        <v>0.28499999999999998</v>
      </c>
      <c r="M36" s="13">
        <v>0.26400000000000001</v>
      </c>
      <c r="N36" s="123">
        <f t="shared" si="5"/>
        <v>0.92631578947368431</v>
      </c>
      <c r="O36" s="158">
        <v>0.29299999999999998</v>
      </c>
      <c r="P36" s="48">
        <v>0.29299999999999998</v>
      </c>
      <c r="Q36" s="15">
        <v>0.35720000000000002</v>
      </c>
      <c r="R36" s="13">
        <v>0.35720000000000002</v>
      </c>
      <c r="S36" s="30">
        <f t="shared" si="7"/>
        <v>1.2191126279863482</v>
      </c>
      <c r="T36" s="123">
        <f t="shared" si="2"/>
        <v>1.2191126279863482</v>
      </c>
      <c r="U36" s="125">
        <v>0.30099999999999999</v>
      </c>
      <c r="V36" s="34">
        <v>0.30099999999999999</v>
      </c>
      <c r="W36" s="319">
        <v>0.32129999999999997</v>
      </c>
      <c r="X36" s="319">
        <v>0.32129999999999997</v>
      </c>
      <c r="Y36" s="30">
        <f t="shared" si="1"/>
        <v>1.0674418604651161</v>
      </c>
      <c r="Z36" s="30">
        <f t="shared" si="6"/>
        <v>1.0674418604651161</v>
      </c>
      <c r="AA36" s="123" t="s">
        <v>146</v>
      </c>
      <c r="AB36" s="252">
        <v>0.309</v>
      </c>
      <c r="AC36" s="243">
        <f t="shared" si="8"/>
        <v>0.309</v>
      </c>
      <c r="AD36" s="171"/>
      <c r="AE36" s="171"/>
      <c r="AF36" s="171"/>
      <c r="AG36" s="171"/>
      <c r="AH36" s="171">
        <v>0</v>
      </c>
      <c r="AI36" s="70" t="s">
        <v>154</v>
      </c>
      <c r="AJ36" s="270"/>
      <c r="AK36" s="171"/>
      <c r="AL36" s="68"/>
    </row>
    <row r="37" spans="1:41" ht="105.75" hidden="1" customHeight="1" x14ac:dyDescent="0.25">
      <c r="A37" s="196" t="s">
        <v>111</v>
      </c>
      <c r="B37" s="46" t="s">
        <v>101</v>
      </c>
      <c r="C37" s="59" t="s">
        <v>130</v>
      </c>
      <c r="D37" s="46" t="s">
        <v>211</v>
      </c>
      <c r="E37" s="2" t="s">
        <v>34</v>
      </c>
      <c r="F37" s="46" t="s">
        <v>191</v>
      </c>
      <c r="G37" s="46" t="s">
        <v>177</v>
      </c>
      <c r="H37" s="46" t="s">
        <v>184</v>
      </c>
      <c r="I37" s="59" t="s">
        <v>183</v>
      </c>
      <c r="J37" s="10">
        <v>0.29899999999999999</v>
      </c>
      <c r="K37" s="168">
        <v>0.217</v>
      </c>
      <c r="L37" s="47">
        <v>0.23799999999999999</v>
      </c>
      <c r="M37" s="21">
        <v>0.2326</v>
      </c>
      <c r="N37" s="123">
        <f t="shared" si="5"/>
        <v>0.97731092436974798</v>
      </c>
      <c r="O37" s="158">
        <v>0.25800000000000001</v>
      </c>
      <c r="P37" s="48">
        <v>0.25800000000000001</v>
      </c>
      <c r="Q37" s="15">
        <v>0.29870000000000002</v>
      </c>
      <c r="R37" s="13">
        <v>0.29870000000000002</v>
      </c>
      <c r="S37" s="30">
        <f t="shared" si="7"/>
        <v>1.1577519379844963</v>
      </c>
      <c r="T37" s="123">
        <f t="shared" si="2"/>
        <v>1.1577519379844963</v>
      </c>
      <c r="U37" s="125">
        <v>0.27900000000000003</v>
      </c>
      <c r="V37" s="34">
        <v>0.27900000000000003</v>
      </c>
      <c r="W37" s="319">
        <v>0.2084</v>
      </c>
      <c r="X37" s="319">
        <v>0.2084</v>
      </c>
      <c r="Y37" s="30">
        <f t="shared" ref="Y37:Y68" si="9">+W37/U37</f>
        <v>0.74695340501792107</v>
      </c>
      <c r="Z37" s="30">
        <f t="shared" si="6"/>
        <v>0.74695340501792107</v>
      </c>
      <c r="AA37" s="123" t="s">
        <v>146</v>
      </c>
      <c r="AB37" s="252">
        <v>0.29899999999999999</v>
      </c>
      <c r="AC37" s="243">
        <f t="shared" si="8"/>
        <v>0.29899999999999999</v>
      </c>
      <c r="AD37" s="171"/>
      <c r="AE37" s="171"/>
      <c r="AF37" s="171"/>
      <c r="AG37" s="171"/>
      <c r="AH37" s="171">
        <f>+AC37-X37</f>
        <v>9.0599999999999986E-2</v>
      </c>
      <c r="AI37" s="70" t="s">
        <v>154</v>
      </c>
      <c r="AJ37" s="270"/>
      <c r="AK37" s="171"/>
      <c r="AL37" s="68"/>
    </row>
    <row r="38" spans="1:41" ht="165" hidden="1" x14ac:dyDescent="0.25">
      <c r="A38" s="196" t="s">
        <v>111</v>
      </c>
      <c r="B38" s="46" t="s">
        <v>101</v>
      </c>
      <c r="C38" s="59" t="s">
        <v>130</v>
      </c>
      <c r="D38" s="46" t="s">
        <v>212</v>
      </c>
      <c r="E38" s="217" t="s">
        <v>35</v>
      </c>
      <c r="F38" s="46" t="s">
        <v>185</v>
      </c>
      <c r="G38" s="46" t="s">
        <v>177</v>
      </c>
      <c r="H38" s="46" t="s">
        <v>187</v>
      </c>
      <c r="I38" s="59" t="s">
        <v>197</v>
      </c>
      <c r="J38" s="29">
        <v>20</v>
      </c>
      <c r="K38" s="200">
        <v>27</v>
      </c>
      <c r="L38" s="49">
        <v>26</v>
      </c>
      <c r="M38" s="17">
        <v>24</v>
      </c>
      <c r="N38" s="123">
        <f>(K38-M38)/(K38-L38)</f>
        <v>3</v>
      </c>
      <c r="O38" s="160">
        <v>24</v>
      </c>
      <c r="P38" s="232">
        <v>24</v>
      </c>
      <c r="Q38" s="28">
        <v>26.11</v>
      </c>
      <c r="R38" s="20">
        <v>26.11</v>
      </c>
      <c r="S38" s="30">
        <f>+(K38-Q38)/(K38-O38)</f>
        <v>0.29666666666666686</v>
      </c>
      <c r="T38" s="123">
        <f>+(K38-R38)/(K38-J38)</f>
        <v>0.12714285714285722</v>
      </c>
      <c r="U38" s="56">
        <v>22</v>
      </c>
      <c r="V38" s="36">
        <v>22</v>
      </c>
      <c r="W38" s="326">
        <v>22.98</v>
      </c>
      <c r="X38" s="326">
        <v>22.98</v>
      </c>
      <c r="Y38" s="30">
        <f>+(K38-W38)/(K38-U38)</f>
        <v>0.80399999999999994</v>
      </c>
      <c r="Z38" s="30">
        <f>(K38-X38)/(K38-V38)</f>
        <v>0.80399999999999994</v>
      </c>
      <c r="AA38" s="123" t="s">
        <v>118</v>
      </c>
      <c r="AB38" s="255">
        <v>20</v>
      </c>
      <c r="AC38" s="35">
        <f t="shared" si="8"/>
        <v>20</v>
      </c>
      <c r="AD38" s="165"/>
      <c r="AE38" s="165"/>
      <c r="AF38" s="30">
        <f>(K38-AD38)/(K38-AB38)</f>
        <v>3.8571428571428572</v>
      </c>
      <c r="AG38" s="30">
        <f>+(K38-AE38)/(K38-AC38)</f>
        <v>3.8571428571428572</v>
      </c>
      <c r="AH38" s="165">
        <v>20</v>
      </c>
      <c r="AI38" s="70"/>
      <c r="AJ38" s="270"/>
      <c r="AK38" s="165"/>
      <c r="AL38" s="173" t="s">
        <v>232</v>
      </c>
    </row>
    <row r="39" spans="1:41" ht="97.5" hidden="1" customHeight="1" x14ac:dyDescent="0.25">
      <c r="A39" s="196" t="s">
        <v>111</v>
      </c>
      <c r="B39" s="46" t="s">
        <v>101</v>
      </c>
      <c r="C39" s="59" t="s">
        <v>127</v>
      </c>
      <c r="D39" s="46" t="s">
        <v>211</v>
      </c>
      <c r="E39" s="2" t="s">
        <v>36</v>
      </c>
      <c r="F39" s="46" t="s">
        <v>185</v>
      </c>
      <c r="G39" s="46" t="s">
        <v>177</v>
      </c>
      <c r="H39" s="46" t="s">
        <v>184</v>
      </c>
      <c r="I39" s="59" t="s">
        <v>183</v>
      </c>
      <c r="J39" s="37">
        <v>0.75</v>
      </c>
      <c r="K39" s="168">
        <v>0.53100000000000003</v>
      </c>
      <c r="L39" s="85">
        <v>0.58599999999999997</v>
      </c>
      <c r="M39" s="38">
        <v>0.52769999999999995</v>
      </c>
      <c r="N39" s="123">
        <f t="shared" si="5"/>
        <v>0.90051194539249146</v>
      </c>
      <c r="O39" s="220">
        <v>0.64100000000000001</v>
      </c>
      <c r="P39" s="48">
        <v>0.64100000000000001</v>
      </c>
      <c r="Q39" s="32">
        <f>+R39-M39</f>
        <v>4.8800000000000066E-2</v>
      </c>
      <c r="R39" s="39">
        <v>0.57650000000000001</v>
      </c>
      <c r="S39" s="30">
        <f t="shared" si="7"/>
        <v>7.6131045241809775E-2</v>
      </c>
      <c r="T39" s="123">
        <f t="shared" si="2"/>
        <v>0.89937597503900157</v>
      </c>
      <c r="U39" s="51">
        <v>0.69599999999999995</v>
      </c>
      <c r="V39" s="48">
        <v>0.69599999999999995</v>
      </c>
      <c r="W39" s="330">
        <v>0.57699999999999996</v>
      </c>
      <c r="X39" s="89">
        <v>0.57699999999999996</v>
      </c>
      <c r="Y39" s="30">
        <f t="shared" si="9"/>
        <v>0.82902298850574707</v>
      </c>
      <c r="Z39" s="30">
        <f t="shared" si="6"/>
        <v>0.82902298850574707</v>
      </c>
      <c r="AA39" s="123" t="s">
        <v>146</v>
      </c>
      <c r="AB39" s="252">
        <v>0.75</v>
      </c>
      <c r="AC39" s="244">
        <f t="shared" si="8"/>
        <v>0.75</v>
      </c>
      <c r="AD39" s="175"/>
      <c r="AE39" s="175"/>
      <c r="AF39" s="175"/>
      <c r="AG39" s="175"/>
      <c r="AH39" s="175">
        <f>+AC39-X39</f>
        <v>0.17300000000000004</v>
      </c>
      <c r="AI39" s="70" t="s">
        <v>154</v>
      </c>
      <c r="AJ39" s="270"/>
      <c r="AK39" s="175"/>
      <c r="AL39" s="68"/>
    </row>
    <row r="40" spans="1:41" ht="285" hidden="1" x14ac:dyDescent="0.25">
      <c r="A40" s="196" t="s">
        <v>111</v>
      </c>
      <c r="B40" s="46" t="s">
        <v>101</v>
      </c>
      <c r="C40" s="59" t="s">
        <v>127</v>
      </c>
      <c r="D40" s="46" t="s">
        <v>212</v>
      </c>
      <c r="E40" s="217" t="s">
        <v>157</v>
      </c>
      <c r="F40" s="46" t="s">
        <v>175</v>
      </c>
      <c r="G40" s="46" t="s">
        <v>177</v>
      </c>
      <c r="H40" s="46" t="s">
        <v>184</v>
      </c>
      <c r="I40" s="59" t="s">
        <v>183</v>
      </c>
      <c r="J40" s="289" t="s">
        <v>264</v>
      </c>
      <c r="K40" s="168">
        <v>0.29399999999999998</v>
      </c>
      <c r="L40" s="212" t="s">
        <v>262</v>
      </c>
      <c r="M40" s="13">
        <v>0.32</v>
      </c>
      <c r="N40" s="123">
        <f>32%/31.2%</f>
        <v>1.0256410256410258</v>
      </c>
      <c r="O40" s="158" t="s">
        <v>268</v>
      </c>
      <c r="P40" s="230" t="s">
        <v>263</v>
      </c>
      <c r="Q40" s="15">
        <v>0.40799999999999997</v>
      </c>
      <c r="R40" s="22">
        <v>0.40799999999999997</v>
      </c>
      <c r="S40" s="30">
        <f>40.8%/33%</f>
        <v>1.2363636363636363</v>
      </c>
      <c r="T40" s="123">
        <f>40.8%/33%</f>
        <v>1.2363636363636363</v>
      </c>
      <c r="U40" s="51" t="s">
        <v>267</v>
      </c>
      <c r="V40" s="93" t="s">
        <v>269</v>
      </c>
      <c r="W40" s="301" t="s">
        <v>279</v>
      </c>
      <c r="X40" s="301" t="s">
        <v>279</v>
      </c>
      <c r="Y40" s="30">
        <f>0.4293/0.366</f>
        <v>1.1729508196721312</v>
      </c>
      <c r="Z40" s="30" t="e">
        <f>+X40/36.6%</f>
        <v>#VALUE!</v>
      </c>
      <c r="AA40" s="123" t="s">
        <v>146</v>
      </c>
      <c r="AB40" s="72" t="s">
        <v>265</v>
      </c>
      <c r="AC40" s="288" t="s">
        <v>266</v>
      </c>
      <c r="AD40" s="171">
        <v>0.42930000000000001</v>
      </c>
      <c r="AE40" s="171">
        <v>0.42930000000000001</v>
      </c>
      <c r="AF40" s="296"/>
      <c r="AG40" s="296"/>
      <c r="AH40" s="171">
        <v>0.38</v>
      </c>
      <c r="AI40" s="70"/>
      <c r="AJ40" s="272" t="s">
        <v>91</v>
      </c>
      <c r="AK40" s="171"/>
      <c r="AL40" s="173" t="s">
        <v>233</v>
      </c>
      <c r="AM40" t="s">
        <v>274</v>
      </c>
      <c r="AO40" s="155"/>
    </row>
    <row r="41" spans="1:41" ht="120" hidden="1" x14ac:dyDescent="0.25">
      <c r="A41" s="196" t="s">
        <v>111</v>
      </c>
      <c r="B41" s="46" t="s">
        <v>101</v>
      </c>
      <c r="C41" s="59" t="s">
        <v>127</v>
      </c>
      <c r="D41" s="46" t="s">
        <v>211</v>
      </c>
      <c r="E41" s="2" t="s">
        <v>38</v>
      </c>
      <c r="F41" s="46" t="s">
        <v>191</v>
      </c>
      <c r="G41" s="46" t="s">
        <v>177</v>
      </c>
      <c r="H41" s="46" t="s">
        <v>184</v>
      </c>
      <c r="I41" s="59" t="s">
        <v>183</v>
      </c>
      <c r="J41" s="9">
        <v>0.22</v>
      </c>
      <c r="K41" s="168">
        <v>0</v>
      </c>
      <c r="L41" s="47">
        <v>0.05</v>
      </c>
      <c r="M41" s="13">
        <v>7.0000000000000007E-2</v>
      </c>
      <c r="N41" s="123">
        <f t="shared" ref="N41:N54" si="10">+M41/L41</f>
        <v>1.4000000000000001</v>
      </c>
      <c r="O41" s="158">
        <v>0.09</v>
      </c>
      <c r="P41" s="48">
        <v>0.09</v>
      </c>
      <c r="Q41" s="15">
        <f>+R41-M41</f>
        <v>3.4999999999999989E-2</v>
      </c>
      <c r="R41" s="22">
        <v>0.105</v>
      </c>
      <c r="S41" s="30">
        <f t="shared" ref="S41:S82" si="11">+Q41/O41</f>
        <v>0.38888888888888878</v>
      </c>
      <c r="T41" s="123">
        <f t="shared" si="2"/>
        <v>1.1666666666666667</v>
      </c>
      <c r="U41" s="125">
        <v>0.15</v>
      </c>
      <c r="V41" s="34">
        <v>0.15</v>
      </c>
      <c r="W41" s="325">
        <v>0.14000000000000001</v>
      </c>
      <c r="X41" s="325">
        <v>0.14000000000000001</v>
      </c>
      <c r="Y41" s="30">
        <f t="shared" si="9"/>
        <v>0.93333333333333346</v>
      </c>
      <c r="Z41" s="30">
        <f t="shared" ref="Z41:Z59" si="12">+X41/$V41</f>
        <v>0.93333333333333346</v>
      </c>
      <c r="AA41" s="123" t="s">
        <v>115</v>
      </c>
      <c r="AB41" s="252">
        <v>0.22</v>
      </c>
      <c r="AC41" s="241">
        <f t="shared" si="8"/>
        <v>0.22</v>
      </c>
      <c r="AD41" s="174"/>
      <c r="AE41" s="174"/>
      <c r="AF41" s="174"/>
      <c r="AG41" s="174"/>
      <c r="AH41" s="174">
        <f>+AC41-X41</f>
        <v>7.9999999999999988E-2</v>
      </c>
      <c r="AI41" s="70"/>
      <c r="AJ41" s="270"/>
      <c r="AK41" s="174"/>
      <c r="AL41" s="68"/>
    </row>
    <row r="42" spans="1:41" ht="409.5" hidden="1" x14ac:dyDescent="0.25">
      <c r="A42" s="196" t="s">
        <v>111</v>
      </c>
      <c r="B42" s="46" t="s">
        <v>101</v>
      </c>
      <c r="C42" s="59" t="s">
        <v>127</v>
      </c>
      <c r="D42" s="46" t="s">
        <v>211</v>
      </c>
      <c r="E42" s="2" t="s">
        <v>39</v>
      </c>
      <c r="F42" s="46" t="s">
        <v>175</v>
      </c>
      <c r="G42" s="46" t="s">
        <v>177</v>
      </c>
      <c r="H42" s="46" t="s">
        <v>188</v>
      </c>
      <c r="I42" s="59" t="s">
        <v>198</v>
      </c>
      <c r="J42" s="29">
        <v>8000</v>
      </c>
      <c r="K42" s="202">
        <v>5703</v>
      </c>
      <c r="L42" s="49">
        <v>1000</v>
      </c>
      <c r="M42" s="27">
        <v>1263</v>
      </c>
      <c r="N42" s="123">
        <f>+M42/L42</f>
        <v>1.2629999999999999</v>
      </c>
      <c r="O42" s="160">
        <v>2335</v>
      </c>
      <c r="P42" s="144">
        <v>2335</v>
      </c>
      <c r="Q42" s="29">
        <v>3713</v>
      </c>
      <c r="R42" s="27">
        <f>+Q42+M42</f>
        <v>4976</v>
      </c>
      <c r="S42" s="30">
        <f t="shared" si="11"/>
        <v>1.5901498929336189</v>
      </c>
      <c r="T42" s="123">
        <f t="shared" si="2"/>
        <v>2.131049250535332</v>
      </c>
      <c r="U42" s="56">
        <v>2367</v>
      </c>
      <c r="V42" s="36">
        <v>2367</v>
      </c>
      <c r="W42" s="304">
        <v>7017</v>
      </c>
      <c r="X42" s="304">
        <v>7017</v>
      </c>
      <c r="Y42" s="30">
        <f t="shared" si="9"/>
        <v>2.9645120405576679</v>
      </c>
      <c r="Z42" s="30">
        <f t="shared" si="12"/>
        <v>2.9645120405576679</v>
      </c>
      <c r="AA42" s="123" t="s">
        <v>118</v>
      </c>
      <c r="AB42" s="254">
        <v>2298</v>
      </c>
      <c r="AC42" s="35">
        <f>+L42+O42+U42+AB42</f>
        <v>8000</v>
      </c>
      <c r="AD42" s="165"/>
      <c r="AE42" s="165"/>
      <c r="AF42" s="165"/>
      <c r="AG42" s="165"/>
      <c r="AH42" s="165">
        <v>0</v>
      </c>
      <c r="AI42" s="70"/>
      <c r="AJ42" s="270"/>
      <c r="AK42" s="165"/>
      <c r="AL42" s="173" t="s">
        <v>234</v>
      </c>
    </row>
    <row r="43" spans="1:41" ht="240" hidden="1" x14ac:dyDescent="0.25">
      <c r="A43" s="196" t="s">
        <v>111</v>
      </c>
      <c r="B43" s="46" t="s">
        <v>101</v>
      </c>
      <c r="C43" s="59" t="s">
        <v>127</v>
      </c>
      <c r="D43" s="46" t="s">
        <v>211</v>
      </c>
      <c r="E43" s="2" t="s">
        <v>40</v>
      </c>
      <c r="F43" s="46" t="s">
        <v>191</v>
      </c>
      <c r="G43" s="46" t="s">
        <v>177</v>
      </c>
      <c r="H43" s="46" t="s">
        <v>190</v>
      </c>
      <c r="I43" s="59" t="s">
        <v>183</v>
      </c>
      <c r="J43" s="189">
        <v>0.1196</v>
      </c>
      <c r="K43" s="201">
        <v>9.4E-2</v>
      </c>
      <c r="L43" s="47">
        <v>0.10050000000000001</v>
      </c>
      <c r="M43" s="13">
        <v>9.0999999999999998E-2</v>
      </c>
      <c r="N43" s="123">
        <f>+M43/L43</f>
        <v>0.90547263681592027</v>
      </c>
      <c r="O43" s="158">
        <v>0.1069</v>
      </c>
      <c r="P43" s="48">
        <v>0.1069</v>
      </c>
      <c r="Q43" s="13">
        <f>+R43-M43</f>
        <v>9.5000000000000084E-3</v>
      </c>
      <c r="R43" s="13">
        <v>0.10050000000000001</v>
      </c>
      <c r="S43" s="30">
        <f t="shared" si="11"/>
        <v>8.8868101028999141E-2</v>
      </c>
      <c r="T43" s="123">
        <f t="shared" si="2"/>
        <v>0.94013096351730596</v>
      </c>
      <c r="U43" s="125">
        <v>0.1132</v>
      </c>
      <c r="V43" s="34">
        <v>0.1132</v>
      </c>
      <c r="W43" s="306" t="s">
        <v>278</v>
      </c>
      <c r="X43" s="306" t="s">
        <v>278</v>
      </c>
      <c r="Y43" s="30" t="e">
        <f t="shared" si="9"/>
        <v>#VALUE!</v>
      </c>
      <c r="Z43" s="30" t="e">
        <f t="shared" si="12"/>
        <v>#VALUE!</v>
      </c>
      <c r="AA43" s="123" t="s">
        <v>146</v>
      </c>
      <c r="AB43" s="256">
        <v>0.1196</v>
      </c>
      <c r="AC43" s="243">
        <f t="shared" ref="AC43:AC60" si="13">+J43</f>
        <v>0.1196</v>
      </c>
      <c r="AD43" s="171"/>
      <c r="AE43" s="171"/>
      <c r="AF43" s="171"/>
      <c r="AG43" s="171"/>
      <c r="AH43" s="171" t="e">
        <f>+AC43-X43</f>
        <v>#VALUE!</v>
      </c>
      <c r="AI43" s="70" t="s">
        <v>154</v>
      </c>
      <c r="AJ43" s="270"/>
      <c r="AK43" s="171"/>
      <c r="AL43" s="173" t="s">
        <v>235</v>
      </c>
    </row>
    <row r="44" spans="1:41" ht="165" hidden="1" x14ac:dyDescent="0.25">
      <c r="A44" s="196" t="s">
        <v>111</v>
      </c>
      <c r="B44" s="46" t="s">
        <v>101</v>
      </c>
      <c r="C44" s="59" t="s">
        <v>130</v>
      </c>
      <c r="D44" s="46" t="s">
        <v>212</v>
      </c>
      <c r="E44" s="217" t="s">
        <v>41</v>
      </c>
      <c r="F44" s="46" t="s">
        <v>175</v>
      </c>
      <c r="G44" s="59" t="s">
        <v>199</v>
      </c>
      <c r="H44" s="46" t="s">
        <v>184</v>
      </c>
      <c r="I44" s="59" t="s">
        <v>200</v>
      </c>
      <c r="J44" s="29">
        <v>4350</v>
      </c>
      <c r="K44" s="200">
        <v>2889</v>
      </c>
      <c r="L44" s="49">
        <v>3400</v>
      </c>
      <c r="M44" s="16">
        <v>3842</v>
      </c>
      <c r="N44" s="123">
        <f t="shared" si="10"/>
        <v>1.1299999999999999</v>
      </c>
      <c r="O44" s="160">
        <v>3700</v>
      </c>
      <c r="P44" s="233">
        <v>3700</v>
      </c>
      <c r="Q44" s="29">
        <v>4230</v>
      </c>
      <c r="R44" s="29">
        <v>4230</v>
      </c>
      <c r="S44" s="30">
        <f t="shared" si="11"/>
        <v>1.1432432432432433</v>
      </c>
      <c r="T44" s="123">
        <f t="shared" si="2"/>
        <v>1.1432432432432433</v>
      </c>
      <c r="U44" s="56">
        <v>4000</v>
      </c>
      <c r="V44" s="36">
        <v>4000</v>
      </c>
      <c r="W44" s="327">
        <v>4059</v>
      </c>
      <c r="X44" s="327">
        <v>4059</v>
      </c>
      <c r="Y44" s="30">
        <f t="shared" si="9"/>
        <v>1.01475</v>
      </c>
      <c r="Z44" s="30">
        <f t="shared" si="12"/>
        <v>1.01475</v>
      </c>
      <c r="AA44" s="123" t="s">
        <v>115</v>
      </c>
      <c r="AB44" s="255">
        <v>4350</v>
      </c>
      <c r="AC44" s="35">
        <f t="shared" si="13"/>
        <v>4350</v>
      </c>
      <c r="AD44" s="165">
        <v>3998</v>
      </c>
      <c r="AE44" s="165">
        <v>3998</v>
      </c>
      <c r="AF44" s="165"/>
      <c r="AG44" s="165"/>
      <c r="AH44" s="165">
        <f>+AC44-X44</f>
        <v>291</v>
      </c>
      <c r="AI44" s="70" t="s">
        <v>275</v>
      </c>
      <c r="AJ44" s="270"/>
      <c r="AK44" s="165"/>
      <c r="AL44" s="173" t="s">
        <v>236</v>
      </c>
      <c r="AM44" t="s">
        <v>275</v>
      </c>
    </row>
    <row r="45" spans="1:41" ht="90" hidden="1" x14ac:dyDescent="0.25">
      <c r="A45" s="196" t="s">
        <v>111</v>
      </c>
      <c r="B45" s="46" t="s">
        <v>101</v>
      </c>
      <c r="C45" s="59" t="s">
        <v>127</v>
      </c>
      <c r="D45" s="46" t="s">
        <v>212</v>
      </c>
      <c r="E45" s="217" t="s">
        <v>42</v>
      </c>
      <c r="F45" s="46" t="s">
        <v>185</v>
      </c>
      <c r="G45" s="46" t="s">
        <v>177</v>
      </c>
      <c r="H45" s="46" t="s">
        <v>184</v>
      </c>
      <c r="I45" s="59" t="s">
        <v>201</v>
      </c>
      <c r="J45" s="10">
        <v>5.6090000000000001E-2</v>
      </c>
      <c r="K45" s="168">
        <v>5.0700000000000002E-2</v>
      </c>
      <c r="L45" s="47">
        <v>5.0709999999999998E-2</v>
      </c>
      <c r="M45" s="32">
        <v>5.4199999999999998E-2</v>
      </c>
      <c r="N45" s="123">
        <f t="shared" si="10"/>
        <v>1.0688227174127392</v>
      </c>
      <c r="O45" s="158">
        <v>5.2449999999999997E-2</v>
      </c>
      <c r="P45" s="48">
        <v>5.2449999999999997E-2</v>
      </c>
      <c r="Q45" s="13">
        <v>5.6500000000000002E-2</v>
      </c>
      <c r="R45" s="13">
        <v>5.6500000000000002E-2</v>
      </c>
      <c r="S45" s="30">
        <f t="shared" si="11"/>
        <v>1.0772163965681603</v>
      </c>
      <c r="T45" s="123">
        <f t="shared" si="2"/>
        <v>1.0772163965681603</v>
      </c>
      <c r="U45" s="125">
        <v>5.3999999999999999E-2</v>
      </c>
      <c r="V45" s="34">
        <v>5.3999999999999999E-2</v>
      </c>
      <c r="W45" s="306" t="s">
        <v>278</v>
      </c>
      <c r="X45" s="306" t="s">
        <v>278</v>
      </c>
      <c r="Y45" s="30" t="e">
        <f t="shared" si="9"/>
        <v>#VALUE!</v>
      </c>
      <c r="Z45" s="30" t="e">
        <f t="shared" si="12"/>
        <v>#VALUE!</v>
      </c>
      <c r="AA45" s="123" t="s">
        <v>146</v>
      </c>
      <c r="AB45" s="252">
        <v>5.6099999999999997E-2</v>
      </c>
      <c r="AC45" s="243">
        <f t="shared" si="13"/>
        <v>5.6090000000000001E-2</v>
      </c>
      <c r="AD45" s="171">
        <v>0</v>
      </c>
      <c r="AE45" s="171">
        <v>0</v>
      </c>
      <c r="AF45" s="171"/>
      <c r="AG45" s="171"/>
      <c r="AH45" s="171" t="e">
        <f>+AC45-X45</f>
        <v>#VALUE!</v>
      </c>
      <c r="AI45" s="70" t="s">
        <v>154</v>
      </c>
      <c r="AJ45" s="270"/>
      <c r="AK45" s="171"/>
      <c r="AL45" s="68"/>
    </row>
    <row r="46" spans="1:41" ht="90" hidden="1" x14ac:dyDescent="0.25">
      <c r="A46" s="196" t="s">
        <v>111</v>
      </c>
      <c r="B46" s="46" t="s">
        <v>101</v>
      </c>
      <c r="C46" s="59" t="s">
        <v>127</v>
      </c>
      <c r="D46" s="46" t="s">
        <v>212</v>
      </c>
      <c r="E46" s="217" t="s">
        <v>43</v>
      </c>
      <c r="F46" s="46" t="s">
        <v>185</v>
      </c>
      <c r="G46" s="46" t="s">
        <v>177</v>
      </c>
      <c r="H46" s="46" t="s">
        <v>184</v>
      </c>
      <c r="I46" s="59" t="s">
        <v>202</v>
      </c>
      <c r="J46" s="29">
        <v>2720</v>
      </c>
      <c r="K46" s="200">
        <v>2012</v>
      </c>
      <c r="L46" s="49">
        <v>2109</v>
      </c>
      <c r="M46" s="29">
        <v>2027</v>
      </c>
      <c r="N46" s="123">
        <f t="shared" si="10"/>
        <v>0.96111901375059272</v>
      </c>
      <c r="O46" s="160">
        <v>2230</v>
      </c>
      <c r="P46" s="233">
        <v>2230</v>
      </c>
      <c r="Q46" s="29">
        <v>2477</v>
      </c>
      <c r="R46" s="27">
        <v>2477</v>
      </c>
      <c r="S46" s="30">
        <f t="shared" si="11"/>
        <v>1.1107623318385651</v>
      </c>
      <c r="T46" s="123">
        <f t="shared" si="2"/>
        <v>1.1107623318385651</v>
      </c>
      <c r="U46" s="56">
        <v>2545</v>
      </c>
      <c r="V46" s="36">
        <v>2545</v>
      </c>
      <c r="W46" s="314">
        <v>2808</v>
      </c>
      <c r="X46" s="314">
        <v>2808</v>
      </c>
      <c r="Y46" s="30">
        <f t="shared" si="9"/>
        <v>1.1033398821218074</v>
      </c>
      <c r="Z46" s="30">
        <f t="shared" si="12"/>
        <v>1.1033398821218074</v>
      </c>
      <c r="AA46" s="123"/>
      <c r="AB46" s="255">
        <v>2720</v>
      </c>
      <c r="AC46" s="35">
        <f t="shared" si="13"/>
        <v>2720</v>
      </c>
      <c r="AD46" s="165">
        <v>0</v>
      </c>
      <c r="AE46" s="165">
        <v>2808</v>
      </c>
      <c r="AF46" s="168">
        <f>+AD46/AB46</f>
        <v>0</v>
      </c>
      <c r="AG46" s="168">
        <f>+AE46/AC46</f>
        <v>1.0323529411764707</v>
      </c>
      <c r="AH46" s="165">
        <f>+AC46-X46</f>
        <v>-88</v>
      </c>
      <c r="AI46" s="70"/>
      <c r="AJ46" s="270"/>
      <c r="AK46" s="165"/>
      <c r="AL46" s="68"/>
    </row>
    <row r="47" spans="1:41" ht="360" hidden="1" x14ac:dyDescent="0.25">
      <c r="A47" s="196" t="s">
        <v>111</v>
      </c>
      <c r="B47" s="46" t="s">
        <v>101</v>
      </c>
      <c r="C47" s="59" t="s">
        <v>129</v>
      </c>
      <c r="D47" s="46" t="s">
        <v>212</v>
      </c>
      <c r="E47" s="219" t="s">
        <v>44</v>
      </c>
      <c r="F47" s="46" t="s">
        <v>175</v>
      </c>
      <c r="G47" s="46" t="s">
        <v>178</v>
      </c>
      <c r="H47" s="46" t="s">
        <v>184</v>
      </c>
      <c r="I47" s="59" t="s">
        <v>193</v>
      </c>
      <c r="J47" s="29">
        <v>1500000</v>
      </c>
      <c r="K47" s="200">
        <v>0</v>
      </c>
      <c r="L47" s="49">
        <v>305516</v>
      </c>
      <c r="M47" s="163">
        <v>316895</v>
      </c>
      <c r="N47" s="123">
        <f t="shared" si="10"/>
        <v>1.0372451851948834</v>
      </c>
      <c r="O47" s="160">
        <v>687411</v>
      </c>
      <c r="P47" s="144">
        <v>687411</v>
      </c>
      <c r="Q47" s="29">
        <v>512169</v>
      </c>
      <c r="R47" s="294">
        <v>512169</v>
      </c>
      <c r="S47" s="30">
        <f>+Q47/O47</f>
        <v>0.745069543548183</v>
      </c>
      <c r="T47" s="123">
        <f t="shared" si="2"/>
        <v>0.745069543548183</v>
      </c>
      <c r="U47" s="56">
        <v>1000000</v>
      </c>
      <c r="V47" s="36">
        <v>1000000</v>
      </c>
      <c r="W47" s="328">
        <v>730411</v>
      </c>
      <c r="X47" s="295">
        <v>730411</v>
      </c>
      <c r="Y47" s="30">
        <f>+W47/U47</f>
        <v>0.73041100000000003</v>
      </c>
      <c r="Z47" s="30">
        <f t="shared" si="12"/>
        <v>0.73041100000000003</v>
      </c>
      <c r="AA47" s="123" t="s">
        <v>115</v>
      </c>
      <c r="AB47" s="255">
        <v>1500000</v>
      </c>
      <c r="AC47" s="35">
        <f t="shared" si="13"/>
        <v>1500000</v>
      </c>
      <c r="AD47" s="165">
        <v>793607</v>
      </c>
      <c r="AE47" s="299">
        <v>793607</v>
      </c>
      <c r="AF47" s="30">
        <f>+AD47/AB47</f>
        <v>0.52907133333333334</v>
      </c>
      <c r="AG47" s="30">
        <f>+AE47/AC47</f>
        <v>0.52907133333333334</v>
      </c>
      <c r="AH47" s="165">
        <f>+AC47-AE47</f>
        <v>706393</v>
      </c>
      <c r="AI47" s="298" t="s">
        <v>113</v>
      </c>
      <c r="AJ47" s="270" t="s">
        <v>148</v>
      </c>
      <c r="AK47" s="165"/>
      <c r="AL47" s="173" t="s">
        <v>237</v>
      </c>
      <c r="AM47" t="s">
        <v>273</v>
      </c>
    </row>
    <row r="48" spans="1:41" ht="360" hidden="1" x14ac:dyDescent="0.25">
      <c r="A48" s="197" t="s">
        <v>112</v>
      </c>
      <c r="B48" s="46" t="s">
        <v>99</v>
      </c>
      <c r="C48" s="59" t="s">
        <v>131</v>
      </c>
      <c r="D48" s="46" t="s">
        <v>212</v>
      </c>
      <c r="E48" s="217" t="s">
        <v>45</v>
      </c>
      <c r="F48" s="46" t="s">
        <v>185</v>
      </c>
      <c r="G48" s="46" t="s">
        <v>177</v>
      </c>
      <c r="H48" s="46" t="s">
        <v>184</v>
      </c>
      <c r="I48" s="59" t="s">
        <v>186</v>
      </c>
      <c r="J48" s="32">
        <v>0.2</v>
      </c>
      <c r="K48" s="203">
        <v>0.14899999999999999</v>
      </c>
      <c r="L48" s="47">
        <v>0.16</v>
      </c>
      <c r="M48" s="32">
        <v>0.157</v>
      </c>
      <c r="N48" s="123">
        <f t="shared" si="10"/>
        <v>0.98124999999999996</v>
      </c>
      <c r="O48" s="181">
        <v>0.17299999999999999</v>
      </c>
      <c r="P48" s="48">
        <v>0.17299999999999999</v>
      </c>
      <c r="Q48" s="32">
        <v>0.16900000000000001</v>
      </c>
      <c r="R48" s="32">
        <v>0.16900000000000001</v>
      </c>
      <c r="S48" s="30">
        <f t="shared" si="11"/>
        <v>0.97687861271676313</v>
      </c>
      <c r="T48" s="123">
        <f>+R48/$P48</f>
        <v>0.97687861271676313</v>
      </c>
      <c r="U48" s="125">
        <v>0.187</v>
      </c>
      <c r="V48" s="34">
        <v>0.187</v>
      </c>
      <c r="W48" s="90" t="s">
        <v>278</v>
      </c>
      <c r="X48" s="90" t="s">
        <v>278</v>
      </c>
      <c r="Y48" s="30" t="e">
        <f t="shared" si="9"/>
        <v>#VALUE!</v>
      </c>
      <c r="Z48" s="30" t="e">
        <f t="shared" si="12"/>
        <v>#VALUE!</v>
      </c>
      <c r="AA48" s="123" t="s">
        <v>146</v>
      </c>
      <c r="AB48" s="259">
        <v>0.2</v>
      </c>
      <c r="AC48" s="33">
        <f t="shared" si="13"/>
        <v>0.2</v>
      </c>
      <c r="AD48" s="168">
        <v>0.16900000000000001</v>
      </c>
      <c r="AE48" s="168">
        <v>0.16900000000000001</v>
      </c>
      <c r="AF48" s="168"/>
      <c r="AG48" s="168"/>
      <c r="AH48" s="168">
        <v>0.2</v>
      </c>
      <c r="AI48" s="70" t="s">
        <v>154</v>
      </c>
      <c r="AJ48" s="270"/>
      <c r="AK48" s="168"/>
      <c r="AL48" s="173" t="s">
        <v>238</v>
      </c>
    </row>
    <row r="49" spans="1:39" ht="165" hidden="1" x14ac:dyDescent="0.25">
      <c r="A49" s="197" t="s">
        <v>112</v>
      </c>
      <c r="B49" s="46" t="s">
        <v>281</v>
      </c>
      <c r="C49" s="59" t="s">
        <v>132</v>
      </c>
      <c r="D49" s="46" t="s">
        <v>211</v>
      </c>
      <c r="E49" s="2" t="s">
        <v>46</v>
      </c>
      <c r="F49" s="46" t="s">
        <v>175</v>
      </c>
      <c r="G49" s="46" t="s">
        <v>203</v>
      </c>
      <c r="H49" s="46" t="s">
        <v>184</v>
      </c>
      <c r="I49" s="59" t="s">
        <v>183</v>
      </c>
      <c r="J49" s="32">
        <v>0.9</v>
      </c>
      <c r="K49" s="168">
        <v>0.68</v>
      </c>
      <c r="L49" s="47">
        <v>0.7</v>
      </c>
      <c r="M49" s="32">
        <v>0.74099999999999999</v>
      </c>
      <c r="N49" s="123">
        <f t="shared" si="10"/>
        <v>1.0585714285714287</v>
      </c>
      <c r="O49" s="181">
        <v>0.76</v>
      </c>
      <c r="P49" s="48">
        <v>0.76</v>
      </c>
      <c r="Q49" s="32">
        <v>0.78300000000000003</v>
      </c>
      <c r="R49" s="32">
        <v>0.78300000000000003</v>
      </c>
      <c r="S49" s="30">
        <f t="shared" si="11"/>
        <v>1.0302631578947368</v>
      </c>
      <c r="T49" s="123">
        <f t="shared" si="2"/>
        <v>1.0302631578947368</v>
      </c>
      <c r="U49" s="125">
        <v>0.83</v>
      </c>
      <c r="V49" s="34">
        <v>0.83</v>
      </c>
      <c r="W49" s="301">
        <v>0.62629999999999997</v>
      </c>
      <c r="X49" s="44">
        <v>0.62629999999999997</v>
      </c>
      <c r="Y49" s="30">
        <f t="shared" si="9"/>
        <v>0.75457831325301206</v>
      </c>
      <c r="Z49" s="30">
        <f t="shared" si="12"/>
        <v>0.75457831325301206</v>
      </c>
      <c r="AA49" s="123" t="s">
        <v>115</v>
      </c>
      <c r="AB49" s="260">
        <v>0.9</v>
      </c>
      <c r="AC49" s="33">
        <f t="shared" si="13"/>
        <v>0.9</v>
      </c>
      <c r="AD49" s="168"/>
      <c r="AE49" s="168"/>
      <c r="AF49" s="168"/>
      <c r="AG49" s="168"/>
      <c r="AH49" s="168">
        <v>0.9</v>
      </c>
      <c r="AI49" s="72"/>
      <c r="AJ49" s="270"/>
      <c r="AK49" s="168"/>
      <c r="AL49" s="173" t="s">
        <v>239</v>
      </c>
    </row>
    <row r="50" spans="1:39" ht="195" x14ac:dyDescent="0.25">
      <c r="A50" s="197" t="s">
        <v>112</v>
      </c>
      <c r="B50" s="46" t="s">
        <v>99</v>
      </c>
      <c r="C50" s="59" t="s">
        <v>133</v>
      </c>
      <c r="D50" s="46" t="s">
        <v>211</v>
      </c>
      <c r="E50" s="2" t="s">
        <v>47</v>
      </c>
      <c r="F50" s="46" t="s">
        <v>175</v>
      </c>
      <c r="G50" s="46" t="s">
        <v>180</v>
      </c>
      <c r="H50" s="46" t="s">
        <v>184</v>
      </c>
      <c r="I50" s="59" t="s">
        <v>193</v>
      </c>
      <c r="J50" s="29">
        <v>2000</v>
      </c>
      <c r="K50" s="200">
        <v>117</v>
      </c>
      <c r="L50" s="49">
        <v>250</v>
      </c>
      <c r="M50" s="16">
        <v>246</v>
      </c>
      <c r="N50" s="123">
        <f t="shared" si="10"/>
        <v>0.98399999999999999</v>
      </c>
      <c r="O50" s="161">
        <v>500</v>
      </c>
      <c r="P50" s="82">
        <v>500</v>
      </c>
      <c r="Q50" s="29">
        <f>+R50-M50</f>
        <v>195</v>
      </c>
      <c r="R50" s="16">
        <v>441</v>
      </c>
      <c r="S50" s="30">
        <f t="shared" si="11"/>
        <v>0.39</v>
      </c>
      <c r="T50" s="123">
        <f t="shared" si="2"/>
        <v>0.88200000000000001</v>
      </c>
      <c r="U50" s="56">
        <v>1000</v>
      </c>
      <c r="V50" s="36">
        <v>1000</v>
      </c>
      <c r="W50" s="322">
        <v>621</v>
      </c>
      <c r="X50" s="323">
        <v>621</v>
      </c>
      <c r="Y50" s="30">
        <f t="shared" si="9"/>
        <v>0.621</v>
      </c>
      <c r="Z50" s="30">
        <f t="shared" si="12"/>
        <v>0.621</v>
      </c>
      <c r="AA50" s="123" t="s">
        <v>120</v>
      </c>
      <c r="AB50" s="255">
        <v>2000</v>
      </c>
      <c r="AC50" s="35">
        <f t="shared" si="13"/>
        <v>2000</v>
      </c>
      <c r="AD50" s="165"/>
      <c r="AE50" s="165"/>
      <c r="AF50" s="165"/>
      <c r="AG50" s="165"/>
      <c r="AH50" s="165">
        <f>+AC50-X50</f>
        <v>1379</v>
      </c>
      <c r="AI50" s="73"/>
      <c r="AJ50" s="273"/>
      <c r="AK50" s="165"/>
      <c r="AL50" s="68"/>
    </row>
    <row r="51" spans="1:39" ht="153.75" hidden="1" customHeight="1" x14ac:dyDescent="0.25">
      <c r="A51" s="197" t="s">
        <v>112</v>
      </c>
      <c r="B51" s="46" t="s">
        <v>99</v>
      </c>
      <c r="C51" s="59" t="s">
        <v>134</v>
      </c>
      <c r="D51" s="46" t="s">
        <v>211</v>
      </c>
      <c r="E51" s="2" t="s">
        <v>48</v>
      </c>
      <c r="F51" s="46" t="s">
        <v>191</v>
      </c>
      <c r="G51" s="46" t="s">
        <v>178</v>
      </c>
      <c r="H51" s="46" t="s">
        <v>184</v>
      </c>
      <c r="I51" s="59" t="s">
        <v>183</v>
      </c>
      <c r="J51" s="13">
        <v>0.9</v>
      </c>
      <c r="K51" s="168">
        <v>0.16500000000000001</v>
      </c>
      <c r="L51" s="50">
        <v>0.25</v>
      </c>
      <c r="M51" s="13">
        <v>0.216</v>
      </c>
      <c r="N51" s="123">
        <f t="shared" si="10"/>
        <v>0.86399999999999999</v>
      </c>
      <c r="O51" s="159">
        <v>0.4</v>
      </c>
      <c r="P51" s="150">
        <v>0.4</v>
      </c>
      <c r="Q51" s="32">
        <f>+R51-M51</f>
        <v>4.5000000000000012E-2</v>
      </c>
      <c r="R51" s="13">
        <v>0.26100000000000001</v>
      </c>
      <c r="S51" s="30">
        <f t="shared" si="11"/>
        <v>0.11250000000000003</v>
      </c>
      <c r="T51" s="123">
        <f t="shared" si="2"/>
        <v>0.65249999999999997</v>
      </c>
      <c r="U51" s="61">
        <v>0.6</v>
      </c>
      <c r="V51" s="26">
        <v>0.6</v>
      </c>
      <c r="W51" s="318">
        <v>0.38</v>
      </c>
      <c r="X51" s="13">
        <v>0.38</v>
      </c>
      <c r="Y51" s="30">
        <f t="shared" si="9"/>
        <v>0.63333333333333341</v>
      </c>
      <c r="Z51" s="30">
        <f t="shared" si="12"/>
        <v>0.63333333333333341</v>
      </c>
      <c r="AA51" s="123" t="s">
        <v>115</v>
      </c>
      <c r="AB51" s="261">
        <v>0.9</v>
      </c>
      <c r="AC51" s="26">
        <f t="shared" si="13"/>
        <v>0.9</v>
      </c>
      <c r="AD51" s="167"/>
      <c r="AE51" s="167"/>
      <c r="AF51" s="167"/>
      <c r="AG51" s="167"/>
      <c r="AH51" s="167">
        <f>+AC51-X51</f>
        <v>0.52</v>
      </c>
      <c r="AI51" s="74"/>
      <c r="AJ51" s="270"/>
      <c r="AK51" s="167"/>
      <c r="AL51" s="173" t="s">
        <v>240</v>
      </c>
    </row>
    <row r="52" spans="1:39" ht="225" hidden="1" x14ac:dyDescent="0.25">
      <c r="A52" s="197" t="s">
        <v>112</v>
      </c>
      <c r="B52" s="46" t="s">
        <v>99</v>
      </c>
      <c r="C52" s="59" t="s">
        <v>131</v>
      </c>
      <c r="D52" s="46" t="s">
        <v>211</v>
      </c>
      <c r="E52" s="2" t="s">
        <v>49</v>
      </c>
      <c r="F52" s="46" t="s">
        <v>185</v>
      </c>
      <c r="G52" s="46" t="s">
        <v>177</v>
      </c>
      <c r="H52" s="46" t="s">
        <v>184</v>
      </c>
      <c r="I52" s="59" t="s">
        <v>183</v>
      </c>
      <c r="J52" s="13">
        <v>0.13200000000000001</v>
      </c>
      <c r="K52" s="168">
        <v>3.4000000000000002E-2</v>
      </c>
      <c r="L52" s="47">
        <v>0.04</v>
      </c>
      <c r="M52" s="13">
        <v>4.7E-2</v>
      </c>
      <c r="N52" s="123">
        <f t="shared" si="10"/>
        <v>1.175</v>
      </c>
      <c r="O52" s="181">
        <v>0.06</v>
      </c>
      <c r="P52" s="48">
        <v>0.06</v>
      </c>
      <c r="Q52" s="96">
        <f>+R52-M52</f>
        <v>0</v>
      </c>
      <c r="R52" s="14">
        <f>+M52</f>
        <v>4.7E-2</v>
      </c>
      <c r="S52" s="30">
        <f t="shared" si="11"/>
        <v>0</v>
      </c>
      <c r="T52" s="123">
        <f t="shared" si="2"/>
        <v>0.78333333333333333</v>
      </c>
      <c r="U52" s="125">
        <v>0.09</v>
      </c>
      <c r="V52" s="34">
        <v>0.09</v>
      </c>
      <c r="W52" s="90" t="s">
        <v>278</v>
      </c>
      <c r="X52" s="90" t="s">
        <v>278</v>
      </c>
      <c r="Y52" s="30" t="e">
        <f t="shared" si="9"/>
        <v>#VALUE!</v>
      </c>
      <c r="Z52" s="30" t="e">
        <f t="shared" si="12"/>
        <v>#VALUE!</v>
      </c>
      <c r="AA52" s="123" t="s">
        <v>147</v>
      </c>
      <c r="AB52" s="261">
        <v>0.13200000000000001</v>
      </c>
      <c r="AC52" s="26">
        <f t="shared" si="13"/>
        <v>0.13200000000000001</v>
      </c>
      <c r="AD52" s="167"/>
      <c r="AE52" s="167"/>
      <c r="AF52" s="167"/>
      <c r="AG52" s="167"/>
      <c r="AH52" s="167" t="e">
        <f>+AC52-X52</f>
        <v>#VALUE!</v>
      </c>
      <c r="AI52" s="70" t="s">
        <v>154</v>
      </c>
      <c r="AJ52" s="270" t="s">
        <v>109</v>
      </c>
      <c r="AK52" s="167"/>
      <c r="AL52" s="173" t="s">
        <v>241</v>
      </c>
    </row>
    <row r="53" spans="1:39" ht="225" hidden="1" x14ac:dyDescent="0.25">
      <c r="A53" s="197" t="s">
        <v>112</v>
      </c>
      <c r="B53" s="46" t="s">
        <v>99</v>
      </c>
      <c r="C53" s="59" t="s">
        <v>131</v>
      </c>
      <c r="D53" s="46" t="s">
        <v>211</v>
      </c>
      <c r="E53" s="2" t="s">
        <v>50</v>
      </c>
      <c r="F53" s="46" t="s">
        <v>185</v>
      </c>
      <c r="G53" s="46" t="s">
        <v>177</v>
      </c>
      <c r="H53" s="46" t="s">
        <v>184</v>
      </c>
      <c r="I53" s="59" t="s">
        <v>183</v>
      </c>
      <c r="J53" s="32">
        <v>0.14699999999999999</v>
      </c>
      <c r="K53" s="168">
        <v>9.2999999999999999E-2</v>
      </c>
      <c r="L53" s="47">
        <v>0.105</v>
      </c>
      <c r="M53" s="32">
        <v>0.17</v>
      </c>
      <c r="N53" s="123">
        <f t="shared" si="10"/>
        <v>1.6190476190476193</v>
      </c>
      <c r="O53" s="181">
        <v>0.12</v>
      </c>
      <c r="P53" s="48">
        <v>0.12</v>
      </c>
      <c r="Q53" s="96">
        <v>0</v>
      </c>
      <c r="R53" s="31">
        <v>0</v>
      </c>
      <c r="S53" s="30">
        <f t="shared" si="11"/>
        <v>0</v>
      </c>
      <c r="T53" s="123">
        <f t="shared" si="2"/>
        <v>0</v>
      </c>
      <c r="U53" s="125">
        <v>0.13</v>
      </c>
      <c r="V53" s="34">
        <v>0.13</v>
      </c>
      <c r="W53" s="90" t="s">
        <v>278</v>
      </c>
      <c r="X53" s="90" t="s">
        <v>278</v>
      </c>
      <c r="Y53" s="30" t="e">
        <f t="shared" si="9"/>
        <v>#VALUE!</v>
      </c>
      <c r="Z53" s="30" t="e">
        <f t="shared" si="12"/>
        <v>#VALUE!</v>
      </c>
      <c r="AA53" s="123" t="s">
        <v>147</v>
      </c>
      <c r="AB53" s="261">
        <v>0.14699999999999999</v>
      </c>
      <c r="AC53" s="33">
        <f t="shared" si="13"/>
        <v>0.14699999999999999</v>
      </c>
      <c r="AD53" s="168"/>
      <c r="AE53" s="168"/>
      <c r="AF53" s="168"/>
      <c r="AG53" s="168"/>
      <c r="AH53" s="168" t="e">
        <f>+AC53-X53</f>
        <v>#VALUE!</v>
      </c>
      <c r="AI53" s="70" t="s">
        <v>154</v>
      </c>
      <c r="AJ53" s="270" t="s">
        <v>109</v>
      </c>
      <c r="AK53" s="168"/>
      <c r="AL53" s="173" t="s">
        <v>242</v>
      </c>
    </row>
    <row r="54" spans="1:39" ht="285" hidden="1" x14ac:dyDescent="0.25">
      <c r="A54" s="197" t="s">
        <v>112</v>
      </c>
      <c r="B54" s="46" t="s">
        <v>99</v>
      </c>
      <c r="C54" s="59" t="s">
        <v>131</v>
      </c>
      <c r="D54" s="46" t="s">
        <v>211</v>
      </c>
      <c r="E54" s="166" t="s">
        <v>51</v>
      </c>
      <c r="F54" s="46" t="s">
        <v>185</v>
      </c>
      <c r="G54" s="46" t="s">
        <v>177</v>
      </c>
      <c r="H54" s="46" t="s">
        <v>184</v>
      </c>
      <c r="I54" s="59" t="s">
        <v>183</v>
      </c>
      <c r="J54" s="32">
        <v>0.15</v>
      </c>
      <c r="K54" s="168">
        <v>0.1</v>
      </c>
      <c r="L54" s="47">
        <v>0.112</v>
      </c>
      <c r="M54" s="32">
        <v>0.1</v>
      </c>
      <c r="N54" s="123">
        <f t="shared" si="10"/>
        <v>0.8928571428571429</v>
      </c>
      <c r="O54" s="181">
        <v>0.124</v>
      </c>
      <c r="P54" s="48">
        <v>0.124</v>
      </c>
      <c r="Q54" s="32">
        <v>9.11E-2</v>
      </c>
      <c r="R54" s="32">
        <v>9.11E-2</v>
      </c>
      <c r="S54" s="30">
        <f t="shared" si="11"/>
        <v>0.73467741935483877</v>
      </c>
      <c r="T54" s="123">
        <f t="shared" si="2"/>
        <v>0.73467741935483877</v>
      </c>
      <c r="U54" s="125">
        <v>0.13700000000000001</v>
      </c>
      <c r="V54" s="34">
        <v>0.13700000000000001</v>
      </c>
      <c r="W54" s="90" t="s">
        <v>278</v>
      </c>
      <c r="X54" s="90" t="s">
        <v>278</v>
      </c>
      <c r="Y54" s="30" t="e">
        <f t="shared" si="9"/>
        <v>#VALUE!</v>
      </c>
      <c r="Z54" s="30" t="e">
        <f t="shared" si="12"/>
        <v>#VALUE!</v>
      </c>
      <c r="AA54" s="123" t="s">
        <v>146</v>
      </c>
      <c r="AB54" s="252">
        <v>0.15</v>
      </c>
      <c r="AC54" s="33">
        <f t="shared" si="13"/>
        <v>0.15</v>
      </c>
      <c r="AD54" s="168"/>
      <c r="AE54" s="168"/>
      <c r="AF54" s="168"/>
      <c r="AG54" s="168"/>
      <c r="AH54" s="168">
        <v>0.15</v>
      </c>
      <c r="AI54" s="70" t="s">
        <v>154</v>
      </c>
      <c r="AJ54" s="270"/>
      <c r="AK54" s="168"/>
      <c r="AL54" s="173" t="s">
        <v>243</v>
      </c>
    </row>
    <row r="55" spans="1:39" ht="300" hidden="1" x14ac:dyDescent="0.25">
      <c r="A55" s="197" t="s">
        <v>112</v>
      </c>
      <c r="B55" s="46" t="s">
        <v>99</v>
      </c>
      <c r="C55" s="59" t="s">
        <v>131</v>
      </c>
      <c r="D55" s="46" t="s">
        <v>212</v>
      </c>
      <c r="E55" s="217" t="s">
        <v>52</v>
      </c>
      <c r="F55" s="46" t="s">
        <v>191</v>
      </c>
      <c r="G55" s="46" t="s">
        <v>177</v>
      </c>
      <c r="H55" s="46" t="s">
        <v>190</v>
      </c>
      <c r="I55" s="59" t="s">
        <v>204</v>
      </c>
      <c r="J55" s="29">
        <v>150000</v>
      </c>
      <c r="K55" s="204">
        <v>168664</v>
      </c>
      <c r="L55" s="49">
        <v>36905</v>
      </c>
      <c r="M55" s="16">
        <v>6230</v>
      </c>
      <c r="N55" s="123">
        <f>+M55/L55</f>
        <v>0.16881181411732826</v>
      </c>
      <c r="O55" s="161">
        <v>73810</v>
      </c>
      <c r="P55" s="82">
        <v>73810</v>
      </c>
      <c r="Q55" s="29">
        <f>+R55-M55</f>
        <v>3788</v>
      </c>
      <c r="R55" s="64">
        <v>10018</v>
      </c>
      <c r="S55" s="30">
        <f t="shared" si="11"/>
        <v>5.1320959219617941E-2</v>
      </c>
      <c r="T55" s="123">
        <f t="shared" si="2"/>
        <v>0.13572686627828207</v>
      </c>
      <c r="U55" s="56">
        <v>110715</v>
      </c>
      <c r="V55" s="36">
        <v>110715</v>
      </c>
      <c r="W55" s="102" t="s">
        <v>278</v>
      </c>
      <c r="X55" s="316" t="s">
        <v>278</v>
      </c>
      <c r="Y55" s="30" t="e">
        <f t="shared" si="9"/>
        <v>#VALUE!</v>
      </c>
      <c r="Z55" s="30" t="e">
        <f t="shared" si="12"/>
        <v>#VALUE!</v>
      </c>
      <c r="AA55" s="123" t="s">
        <v>146</v>
      </c>
      <c r="AB55" s="255">
        <v>150000</v>
      </c>
      <c r="AC55" s="35">
        <f t="shared" si="13"/>
        <v>150000</v>
      </c>
      <c r="AD55" s="165"/>
      <c r="AE55" s="165"/>
      <c r="AF55" s="165"/>
      <c r="AG55" s="165"/>
      <c r="AH55" s="165" t="e">
        <f t="shared" ref="AH55:AH61" si="14">+AC55-X55</f>
        <v>#VALUE!</v>
      </c>
      <c r="AI55" s="70" t="s">
        <v>113</v>
      </c>
      <c r="AJ55" s="270" t="s">
        <v>86</v>
      </c>
      <c r="AK55" s="165"/>
      <c r="AL55" s="173" t="s">
        <v>244</v>
      </c>
    </row>
    <row r="56" spans="1:39" ht="90" hidden="1" x14ac:dyDescent="0.25">
      <c r="A56" s="197" t="s">
        <v>112</v>
      </c>
      <c r="B56" s="46" t="s">
        <v>99</v>
      </c>
      <c r="C56" s="59" t="s">
        <v>131</v>
      </c>
      <c r="D56" s="46" t="s">
        <v>211</v>
      </c>
      <c r="E56" s="2" t="s">
        <v>53</v>
      </c>
      <c r="F56" s="46" t="s">
        <v>185</v>
      </c>
      <c r="G56" s="46" t="s">
        <v>177</v>
      </c>
      <c r="H56" s="46" t="s">
        <v>187</v>
      </c>
      <c r="I56" s="59" t="s">
        <v>186</v>
      </c>
      <c r="J56" s="32">
        <v>0.15</v>
      </c>
      <c r="K56" s="168">
        <v>0.19400000000000001</v>
      </c>
      <c r="L56" s="47">
        <v>0.183</v>
      </c>
      <c r="M56" s="32">
        <v>0.183</v>
      </c>
      <c r="N56" s="123">
        <f>(K56-M56)/(K56-L56)</f>
        <v>1</v>
      </c>
      <c r="O56" s="181">
        <v>0.17199999999999999</v>
      </c>
      <c r="P56" s="48">
        <v>0.17199999999999999</v>
      </c>
      <c r="Q56" s="32">
        <v>0.17100000000000001</v>
      </c>
      <c r="R56" s="32">
        <v>0.17100000000000001</v>
      </c>
      <c r="S56" s="30">
        <f>+(K56-Q56)/(K56-O56)</f>
        <v>1.0454545454545443</v>
      </c>
      <c r="T56" s="123">
        <f>+(K56-R56)/(K56-J56)</f>
        <v>0.52272727272727237</v>
      </c>
      <c r="U56" s="125">
        <v>0.161</v>
      </c>
      <c r="V56" s="34">
        <v>0.161</v>
      </c>
      <c r="W56" s="90" t="s">
        <v>278</v>
      </c>
      <c r="X56" s="90" t="s">
        <v>278</v>
      </c>
      <c r="Y56" s="30" t="e">
        <f>+(K56-W56)/(K56-U56)</f>
        <v>#VALUE!</v>
      </c>
      <c r="Z56" s="30" t="e">
        <f>(K56-X56)/(K56-V56)</f>
        <v>#VALUE!</v>
      </c>
      <c r="AA56" s="123" t="s">
        <v>146</v>
      </c>
      <c r="AB56" s="259">
        <v>0.15</v>
      </c>
      <c r="AC56" s="33">
        <f t="shared" si="13"/>
        <v>0.15</v>
      </c>
      <c r="AD56" s="168"/>
      <c r="AE56" s="168"/>
      <c r="AF56" s="30">
        <f>(K56-AD56)/(K56-AB56)</f>
        <v>4.4090909090909083</v>
      </c>
      <c r="AG56" s="30">
        <f>+(K56-AE56)/(K56-AC56)</f>
        <v>4.4090909090909083</v>
      </c>
      <c r="AH56" s="168" t="e">
        <f t="shared" si="14"/>
        <v>#VALUE!</v>
      </c>
      <c r="AI56" s="70" t="s">
        <v>154</v>
      </c>
      <c r="AJ56" s="273"/>
      <c r="AK56" s="168"/>
      <c r="AL56" s="68"/>
    </row>
    <row r="57" spans="1:39" ht="165" hidden="1" x14ac:dyDescent="0.25">
      <c r="A57" s="197" t="s">
        <v>112</v>
      </c>
      <c r="B57" s="46" t="s">
        <v>99</v>
      </c>
      <c r="C57" s="59" t="s">
        <v>131</v>
      </c>
      <c r="D57" s="46" t="s">
        <v>211</v>
      </c>
      <c r="E57" s="2" t="s">
        <v>54</v>
      </c>
      <c r="F57" s="46" t="s">
        <v>185</v>
      </c>
      <c r="G57" s="46" t="s">
        <v>177</v>
      </c>
      <c r="H57" s="46" t="s">
        <v>184</v>
      </c>
      <c r="I57" s="59" t="s">
        <v>186</v>
      </c>
      <c r="J57" s="32">
        <v>0.56999999999999995</v>
      </c>
      <c r="K57" s="203">
        <v>0.47799999999999998</v>
      </c>
      <c r="L57" s="47">
        <v>0.48899999999999999</v>
      </c>
      <c r="M57" s="32">
        <v>0.49399999999999999</v>
      </c>
      <c r="N57" s="123">
        <f>+M57/L57</f>
        <v>1.0102249488752557</v>
      </c>
      <c r="O57" s="181">
        <v>0.51600000000000001</v>
      </c>
      <c r="P57" s="48">
        <v>0.51600000000000001</v>
      </c>
      <c r="Q57" s="32">
        <v>0.51500000000000001</v>
      </c>
      <c r="R57" s="32">
        <v>0.51500000000000001</v>
      </c>
      <c r="S57" s="30">
        <f t="shared" si="11"/>
        <v>0.99806201550387597</v>
      </c>
      <c r="T57" s="123">
        <f>+R57/$P57</f>
        <v>0.99806201550387597</v>
      </c>
      <c r="U57" s="125">
        <v>0.54300000000000004</v>
      </c>
      <c r="V57" s="34">
        <v>0.54300000000000004</v>
      </c>
      <c r="W57" s="90" t="s">
        <v>278</v>
      </c>
      <c r="X57" s="90" t="s">
        <v>278</v>
      </c>
      <c r="Y57" s="30" t="e">
        <f t="shared" si="9"/>
        <v>#VALUE!</v>
      </c>
      <c r="Z57" s="30" t="e">
        <f t="shared" si="12"/>
        <v>#VALUE!</v>
      </c>
      <c r="AA57" s="123" t="s">
        <v>146</v>
      </c>
      <c r="AB57" s="259">
        <v>0.56999999999999995</v>
      </c>
      <c r="AC57" s="33">
        <f t="shared" si="13"/>
        <v>0.56999999999999995</v>
      </c>
      <c r="AD57" s="168"/>
      <c r="AE57" s="168"/>
      <c r="AF57" s="168"/>
      <c r="AG57" s="168"/>
      <c r="AH57" s="168" t="e">
        <f t="shared" si="14"/>
        <v>#VALUE!</v>
      </c>
      <c r="AI57" s="70" t="s">
        <v>154</v>
      </c>
      <c r="AJ57" s="270"/>
      <c r="AK57" s="168"/>
      <c r="AL57" s="173" t="s">
        <v>245</v>
      </c>
    </row>
    <row r="58" spans="1:39" ht="113.25" hidden="1" customHeight="1" x14ac:dyDescent="0.25">
      <c r="A58" s="197" t="s">
        <v>112</v>
      </c>
      <c r="B58" s="46" t="s">
        <v>99</v>
      </c>
      <c r="C58" s="59" t="s">
        <v>131</v>
      </c>
      <c r="D58" s="46" t="s">
        <v>211</v>
      </c>
      <c r="E58" s="2" t="s">
        <v>55</v>
      </c>
      <c r="F58" s="46" t="s">
        <v>191</v>
      </c>
      <c r="G58" s="46" t="s">
        <v>177</v>
      </c>
      <c r="H58" s="46" t="s">
        <v>190</v>
      </c>
      <c r="I58" s="59" t="s">
        <v>204</v>
      </c>
      <c r="J58" s="29">
        <v>400000</v>
      </c>
      <c r="K58" s="204">
        <v>546631</v>
      </c>
      <c r="L58" s="49">
        <v>92888</v>
      </c>
      <c r="M58" s="16">
        <v>72898</v>
      </c>
      <c r="N58" s="123">
        <f>+M58/L58</f>
        <v>0.78479459133580221</v>
      </c>
      <c r="O58" s="161">
        <v>185776</v>
      </c>
      <c r="P58" s="82">
        <v>185776</v>
      </c>
      <c r="Q58" s="29">
        <f>+R58-M58</f>
        <v>100884</v>
      </c>
      <c r="R58" s="16">
        <v>173782</v>
      </c>
      <c r="S58" s="30">
        <f t="shared" si="11"/>
        <v>0.5430410817328396</v>
      </c>
      <c r="T58" s="123">
        <f t="shared" si="2"/>
        <v>0.93543837740074065</v>
      </c>
      <c r="U58" s="56">
        <v>278664</v>
      </c>
      <c r="V58" s="36">
        <v>278664</v>
      </c>
      <c r="W58" s="102" t="s">
        <v>278</v>
      </c>
      <c r="X58" s="321" t="s">
        <v>278</v>
      </c>
      <c r="Y58" s="30" t="e">
        <f t="shared" si="9"/>
        <v>#VALUE!</v>
      </c>
      <c r="Z58" s="30" t="e">
        <f t="shared" si="12"/>
        <v>#VALUE!</v>
      </c>
      <c r="AA58" s="123" t="s">
        <v>146</v>
      </c>
      <c r="AB58" s="255">
        <v>400000</v>
      </c>
      <c r="AC58" s="35">
        <f t="shared" si="13"/>
        <v>400000</v>
      </c>
      <c r="AD58" s="165"/>
      <c r="AE58" s="165"/>
      <c r="AF58" s="165"/>
      <c r="AG58" s="165"/>
      <c r="AH58" s="165" t="e">
        <f t="shared" si="14"/>
        <v>#VALUE!</v>
      </c>
      <c r="AI58" s="70" t="s">
        <v>154</v>
      </c>
      <c r="AJ58" s="270"/>
      <c r="AK58" s="165"/>
      <c r="AL58" s="173" t="s">
        <v>246</v>
      </c>
    </row>
    <row r="59" spans="1:39" ht="85.5" hidden="1" customHeight="1" x14ac:dyDescent="0.25">
      <c r="A59" s="197" t="s">
        <v>112</v>
      </c>
      <c r="B59" s="46" t="s">
        <v>99</v>
      </c>
      <c r="C59" s="59" t="s">
        <v>131</v>
      </c>
      <c r="D59" s="46" t="s">
        <v>212</v>
      </c>
      <c r="E59" s="217" t="s">
        <v>56</v>
      </c>
      <c r="F59" s="46" t="s">
        <v>185</v>
      </c>
      <c r="G59" s="46" t="s">
        <v>177</v>
      </c>
      <c r="H59" s="46" t="s">
        <v>184</v>
      </c>
      <c r="I59" s="59" t="s">
        <v>205</v>
      </c>
      <c r="J59" s="29">
        <v>33</v>
      </c>
      <c r="K59" s="200">
        <v>25</v>
      </c>
      <c r="L59" s="49">
        <v>27</v>
      </c>
      <c r="M59" s="16">
        <v>26</v>
      </c>
      <c r="N59" s="123">
        <f>+M59/L59</f>
        <v>0.96296296296296291</v>
      </c>
      <c r="O59" s="161">
        <v>29</v>
      </c>
      <c r="P59" s="82">
        <v>29</v>
      </c>
      <c r="Q59" s="29">
        <f>+R59-M59</f>
        <v>-1</v>
      </c>
      <c r="R59" s="11">
        <v>25</v>
      </c>
      <c r="S59" s="30">
        <f t="shared" si="11"/>
        <v>-3.4482758620689655E-2</v>
      </c>
      <c r="T59" s="123">
        <f>+R59/$P59</f>
        <v>0.86206896551724133</v>
      </c>
      <c r="U59" s="56">
        <v>31</v>
      </c>
      <c r="V59" s="36">
        <v>31</v>
      </c>
      <c r="W59" s="315" t="s">
        <v>278</v>
      </c>
      <c r="X59" s="102" t="s">
        <v>278</v>
      </c>
      <c r="Y59" s="30" t="e">
        <f t="shared" si="9"/>
        <v>#VALUE!</v>
      </c>
      <c r="Z59" s="30" t="e">
        <f t="shared" si="12"/>
        <v>#VALUE!</v>
      </c>
      <c r="AA59" s="123" t="s">
        <v>146</v>
      </c>
      <c r="AB59" s="262">
        <v>33</v>
      </c>
      <c r="AC59" s="35">
        <f t="shared" si="13"/>
        <v>33</v>
      </c>
      <c r="AD59" s="165"/>
      <c r="AE59" s="165"/>
      <c r="AF59" s="165"/>
      <c r="AG59" s="165"/>
      <c r="AH59" s="165" t="e">
        <f t="shared" si="14"/>
        <v>#VALUE!</v>
      </c>
      <c r="AI59" s="70" t="s">
        <v>113</v>
      </c>
      <c r="AJ59" s="270" t="s">
        <v>87</v>
      </c>
      <c r="AK59" s="165"/>
      <c r="AL59" s="173" t="s">
        <v>247</v>
      </c>
    </row>
    <row r="60" spans="1:39" ht="240" hidden="1" x14ac:dyDescent="0.25">
      <c r="A60" s="197" t="s">
        <v>112</v>
      </c>
      <c r="B60" s="46" t="s">
        <v>99</v>
      </c>
      <c r="C60" s="59" t="s">
        <v>131</v>
      </c>
      <c r="D60" s="46" t="s">
        <v>211</v>
      </c>
      <c r="E60" s="2" t="s">
        <v>57</v>
      </c>
      <c r="F60" s="46" t="s">
        <v>185</v>
      </c>
      <c r="G60" s="46" t="s">
        <v>177</v>
      </c>
      <c r="H60" s="46" t="s">
        <v>187</v>
      </c>
      <c r="I60" s="59" t="s">
        <v>186</v>
      </c>
      <c r="J60" s="32">
        <v>0.08</v>
      </c>
      <c r="K60" s="203">
        <v>0.10100000000000001</v>
      </c>
      <c r="L60" s="47">
        <v>9.7000000000000003E-2</v>
      </c>
      <c r="M60" s="32">
        <v>9.2999999999999999E-2</v>
      </c>
      <c r="N60" s="123">
        <f>(K60-M60)/(K60-L60)</f>
        <v>2</v>
      </c>
      <c r="O60" s="181">
        <v>9.0999999999999998E-2</v>
      </c>
      <c r="P60" s="48">
        <v>9.0999999999999998E-2</v>
      </c>
      <c r="Q60" s="32">
        <v>9.2999999999999999E-2</v>
      </c>
      <c r="R60" s="32">
        <v>9.2999999999999999E-2</v>
      </c>
      <c r="S60" s="30">
        <f>+(K60-Q60)/(K60-O60)</f>
        <v>0.8</v>
      </c>
      <c r="T60" s="123">
        <f>+(K60-R60)/(K60-J60)</f>
        <v>0.38095238095238121</v>
      </c>
      <c r="U60" s="125">
        <v>8.5999999999999993E-2</v>
      </c>
      <c r="V60" s="34">
        <v>8.5999999999999993E-2</v>
      </c>
      <c r="W60" s="90" t="s">
        <v>278</v>
      </c>
      <c r="X60" s="90" t="s">
        <v>278</v>
      </c>
      <c r="Y60" s="30" t="e">
        <f>+(K60-W60)/(K60-U60)</f>
        <v>#VALUE!</v>
      </c>
      <c r="Z60" s="30" t="e">
        <f>(K60-X60)/(K60-V60)</f>
        <v>#VALUE!</v>
      </c>
      <c r="AA60" s="123" t="s">
        <v>146</v>
      </c>
      <c r="AB60" s="259">
        <v>0.08</v>
      </c>
      <c r="AC60" s="33">
        <f t="shared" si="13"/>
        <v>0.08</v>
      </c>
      <c r="AD60" s="168"/>
      <c r="AE60" s="168"/>
      <c r="AF60" s="30">
        <f>(K60-AD60)/(K60-AB60)</f>
        <v>4.8095238095238084</v>
      </c>
      <c r="AG60" s="30">
        <f>+(K60-AE60)/(K60-AC60)</f>
        <v>4.8095238095238084</v>
      </c>
      <c r="AH60" s="168" t="e">
        <f t="shared" si="14"/>
        <v>#VALUE!</v>
      </c>
      <c r="AI60" s="70" t="s">
        <v>154</v>
      </c>
      <c r="AJ60" s="270"/>
      <c r="AK60" s="168"/>
      <c r="AL60" s="173" t="s">
        <v>248</v>
      </c>
    </row>
    <row r="61" spans="1:39" ht="223.5" customHeight="1" x14ac:dyDescent="0.25">
      <c r="A61" s="197" t="s">
        <v>112</v>
      </c>
      <c r="B61" s="46" t="s">
        <v>99</v>
      </c>
      <c r="C61" s="59" t="s">
        <v>135</v>
      </c>
      <c r="D61" s="46" t="s">
        <v>212</v>
      </c>
      <c r="E61" s="217" t="s">
        <v>181</v>
      </c>
      <c r="F61" s="46" t="s">
        <v>175</v>
      </c>
      <c r="G61" s="46" t="s">
        <v>180</v>
      </c>
      <c r="H61" s="46" t="s">
        <v>188</v>
      </c>
      <c r="I61" s="59" t="s">
        <v>193</v>
      </c>
      <c r="J61" s="29">
        <v>125000</v>
      </c>
      <c r="K61" s="202">
        <v>23067</v>
      </c>
      <c r="L61" s="49">
        <v>18347</v>
      </c>
      <c r="M61" s="16">
        <v>20313</v>
      </c>
      <c r="N61" s="123">
        <f>+M61/L61</f>
        <v>1.1071564833487764</v>
      </c>
      <c r="O61" s="161">
        <v>34287</v>
      </c>
      <c r="P61" s="82">
        <f>+L61+O61</f>
        <v>52634</v>
      </c>
      <c r="Q61" s="29">
        <v>22252</v>
      </c>
      <c r="R61" s="16">
        <f>+M61+Q61</f>
        <v>42565</v>
      </c>
      <c r="S61" s="30">
        <f t="shared" si="11"/>
        <v>0.64899232945431218</v>
      </c>
      <c r="T61" s="123">
        <f t="shared" si="2"/>
        <v>0.80869779990120449</v>
      </c>
      <c r="U61" s="56">
        <v>36183</v>
      </c>
      <c r="V61" s="36">
        <f>+U61+P61</f>
        <v>88817</v>
      </c>
      <c r="W61" s="317">
        <v>23777</v>
      </c>
      <c r="X61" s="63">
        <f>+R61+W61</f>
        <v>66342</v>
      </c>
      <c r="Y61" s="30">
        <f t="shared" si="9"/>
        <v>0.6571318022275654</v>
      </c>
      <c r="Z61" s="30">
        <f t="shared" ref="Z61:Z69" si="15">+X61/$V61</f>
        <v>0.74695159710415804</v>
      </c>
      <c r="AA61" s="123" t="s">
        <v>115</v>
      </c>
      <c r="AB61" s="254">
        <v>36183</v>
      </c>
      <c r="AC61" s="35">
        <f>+V61+AB61</f>
        <v>125000</v>
      </c>
      <c r="AD61" s="165">
        <v>10112</v>
      </c>
      <c r="AE61" s="165">
        <f>+X61+AD61</f>
        <v>76454</v>
      </c>
      <c r="AF61" s="30">
        <f t="shared" ref="AF61" si="16">+AD61/AB61</f>
        <v>0.27946825857446866</v>
      </c>
      <c r="AG61" s="30">
        <f>+AE61/AC61</f>
        <v>0.61163199999999995</v>
      </c>
      <c r="AH61" s="165">
        <f t="shared" si="14"/>
        <v>58658</v>
      </c>
      <c r="AI61" s="70" t="s">
        <v>113</v>
      </c>
      <c r="AJ61" s="270" t="s">
        <v>164</v>
      </c>
      <c r="AK61" s="165"/>
      <c r="AL61" s="173" t="s">
        <v>249</v>
      </c>
      <c r="AM61" t="s">
        <v>276</v>
      </c>
    </row>
    <row r="62" spans="1:39" ht="195" hidden="1" x14ac:dyDescent="0.25">
      <c r="A62" s="248" t="s">
        <v>112</v>
      </c>
      <c r="B62" s="46" t="s">
        <v>99</v>
      </c>
      <c r="C62" s="59" t="s">
        <v>135</v>
      </c>
      <c r="D62" s="46" t="s">
        <v>211</v>
      </c>
      <c r="E62" s="2" t="s">
        <v>59</v>
      </c>
      <c r="F62" s="46" t="s">
        <v>191</v>
      </c>
      <c r="G62" s="46" t="s">
        <v>180</v>
      </c>
      <c r="H62" s="46" t="s">
        <v>190</v>
      </c>
      <c r="I62" s="59" t="s">
        <v>183</v>
      </c>
      <c r="J62" s="32">
        <v>0.6</v>
      </c>
      <c r="K62" s="168">
        <v>0.39</v>
      </c>
      <c r="L62" s="47">
        <v>0.45</v>
      </c>
      <c r="M62" s="32">
        <v>0.91600000000000004</v>
      </c>
      <c r="N62" s="249">
        <f>+M62/L62</f>
        <v>2.0355555555555558</v>
      </c>
      <c r="O62" s="181">
        <v>0.5</v>
      </c>
      <c r="P62" s="48">
        <v>0.5</v>
      </c>
      <c r="Q62" s="184">
        <v>0.43740000000000001</v>
      </c>
      <c r="R62" s="31">
        <v>0.4374377507754475</v>
      </c>
      <c r="S62" s="30">
        <f t="shared" si="11"/>
        <v>0.87480000000000002</v>
      </c>
      <c r="T62" s="123">
        <f t="shared" si="2"/>
        <v>0.874875501550895</v>
      </c>
      <c r="U62" s="125">
        <v>0.55000000000000004</v>
      </c>
      <c r="V62" s="34">
        <v>0.55000000000000004</v>
      </c>
      <c r="W62" s="319">
        <v>0.40200000000000002</v>
      </c>
      <c r="X62" s="52">
        <v>0.40200000000000002</v>
      </c>
      <c r="Y62" s="32">
        <f t="shared" si="9"/>
        <v>0.73090909090909084</v>
      </c>
      <c r="Z62" s="32">
        <f t="shared" si="15"/>
        <v>0.73090909090909084</v>
      </c>
      <c r="AA62" s="123" t="s">
        <v>115</v>
      </c>
      <c r="AB62" s="259">
        <v>0.6</v>
      </c>
      <c r="AC62" s="33">
        <f t="shared" ref="AC62:AC67" si="17">+J62</f>
        <v>0.6</v>
      </c>
      <c r="AD62" s="168"/>
      <c r="AE62" s="168"/>
      <c r="AF62" s="168"/>
      <c r="AG62" s="168"/>
      <c r="AH62" s="168">
        <v>0.6</v>
      </c>
      <c r="AI62" s="75"/>
      <c r="AJ62" s="270"/>
      <c r="AK62" s="168"/>
      <c r="AL62" s="68"/>
      <c r="AM62" t="s">
        <v>280</v>
      </c>
    </row>
    <row r="63" spans="1:39" ht="345" hidden="1" x14ac:dyDescent="0.25">
      <c r="A63" s="197" t="s">
        <v>112</v>
      </c>
      <c r="B63" s="46" t="s">
        <v>99</v>
      </c>
      <c r="C63" s="59" t="s">
        <v>131</v>
      </c>
      <c r="D63" s="46" t="s">
        <v>211</v>
      </c>
      <c r="E63" s="2" t="s">
        <v>60</v>
      </c>
      <c r="F63" s="46" t="s">
        <v>175</v>
      </c>
      <c r="G63" s="46" t="s">
        <v>177</v>
      </c>
      <c r="H63" s="46" t="s">
        <v>184</v>
      </c>
      <c r="I63" s="59" t="s">
        <v>198</v>
      </c>
      <c r="J63" s="29">
        <v>10000</v>
      </c>
      <c r="K63" s="204">
        <v>8893</v>
      </c>
      <c r="L63" s="49">
        <v>8180</v>
      </c>
      <c r="M63" s="16">
        <v>9477</v>
      </c>
      <c r="N63" s="123">
        <f t="shared" ref="N63:N67" si="18">+M63/L63</f>
        <v>1.158557457212714</v>
      </c>
      <c r="O63" s="161">
        <v>8790</v>
      </c>
      <c r="P63" s="82">
        <v>8790</v>
      </c>
      <c r="Q63" s="29">
        <v>10843</v>
      </c>
      <c r="R63" s="65">
        <v>10843</v>
      </c>
      <c r="S63" s="30">
        <f t="shared" si="11"/>
        <v>1.2335608646188851</v>
      </c>
      <c r="T63" s="123">
        <f t="shared" si="2"/>
        <v>1.2335608646188851</v>
      </c>
      <c r="U63" s="56">
        <v>9400</v>
      </c>
      <c r="V63" s="36">
        <v>9400</v>
      </c>
      <c r="W63" s="102" t="s">
        <v>278</v>
      </c>
      <c r="X63" s="102" t="s">
        <v>278</v>
      </c>
      <c r="Y63" s="30" t="e">
        <f t="shared" si="9"/>
        <v>#VALUE!</v>
      </c>
      <c r="Z63" s="30" t="e">
        <f t="shared" si="15"/>
        <v>#VALUE!</v>
      </c>
      <c r="AA63" s="123" t="s">
        <v>146</v>
      </c>
      <c r="AB63" s="263">
        <v>10000</v>
      </c>
      <c r="AC63" s="35">
        <f t="shared" si="17"/>
        <v>10000</v>
      </c>
      <c r="AD63" s="165"/>
      <c r="AE63" s="165"/>
      <c r="AF63" s="165"/>
      <c r="AG63" s="165"/>
      <c r="AH63" s="165" t="e">
        <f>+AC63-X63</f>
        <v>#VALUE!</v>
      </c>
      <c r="AI63" s="70" t="s">
        <v>154</v>
      </c>
      <c r="AJ63" s="270"/>
      <c r="AK63" s="165"/>
      <c r="AL63" s="173" t="s">
        <v>250</v>
      </c>
    </row>
    <row r="64" spans="1:39" ht="255" hidden="1" x14ac:dyDescent="0.25">
      <c r="A64" s="197" t="s">
        <v>112</v>
      </c>
      <c r="B64" s="46" t="s">
        <v>99</v>
      </c>
      <c r="C64" s="59" t="s">
        <v>131</v>
      </c>
      <c r="D64" s="46" t="s">
        <v>211</v>
      </c>
      <c r="E64" s="2" t="s">
        <v>61</v>
      </c>
      <c r="F64" s="46" t="s">
        <v>175</v>
      </c>
      <c r="G64" s="46" t="s">
        <v>177</v>
      </c>
      <c r="H64" s="46" t="s">
        <v>184</v>
      </c>
      <c r="I64" s="59" t="s">
        <v>206</v>
      </c>
      <c r="J64" s="29">
        <v>25</v>
      </c>
      <c r="K64" s="200">
        <v>0</v>
      </c>
      <c r="L64" s="49">
        <v>4</v>
      </c>
      <c r="M64" s="16">
        <v>12</v>
      </c>
      <c r="N64" s="123">
        <f t="shared" si="18"/>
        <v>3</v>
      </c>
      <c r="O64" s="161">
        <v>12</v>
      </c>
      <c r="P64" s="82">
        <v>12</v>
      </c>
      <c r="Q64" s="29">
        <v>24</v>
      </c>
      <c r="R64" s="11">
        <v>24</v>
      </c>
      <c r="S64" s="30">
        <f t="shared" si="11"/>
        <v>2</v>
      </c>
      <c r="T64" s="123">
        <f t="shared" si="2"/>
        <v>2</v>
      </c>
      <c r="U64" s="56">
        <v>20</v>
      </c>
      <c r="V64" s="36">
        <v>20</v>
      </c>
      <c r="W64" s="102" t="s">
        <v>278</v>
      </c>
      <c r="X64" s="102" t="s">
        <v>278</v>
      </c>
      <c r="Y64" s="30" t="e">
        <f t="shared" si="9"/>
        <v>#VALUE!</v>
      </c>
      <c r="Z64" s="30" t="e">
        <f t="shared" si="15"/>
        <v>#VALUE!</v>
      </c>
      <c r="AA64" s="123" t="s">
        <v>146</v>
      </c>
      <c r="AB64" s="264">
        <v>25</v>
      </c>
      <c r="AC64" s="35">
        <f t="shared" si="17"/>
        <v>25</v>
      </c>
      <c r="AD64" s="165"/>
      <c r="AE64" s="165"/>
      <c r="AF64" s="165"/>
      <c r="AG64" s="165"/>
      <c r="AH64" s="165" t="e">
        <f>+AC64-X64</f>
        <v>#VALUE!</v>
      </c>
      <c r="AI64" s="70" t="s">
        <v>154</v>
      </c>
      <c r="AJ64" s="270"/>
      <c r="AK64" s="165"/>
      <c r="AL64" s="173" t="s">
        <v>251</v>
      </c>
    </row>
    <row r="65" spans="1:38" ht="165" hidden="1" x14ac:dyDescent="0.25">
      <c r="A65" s="248" t="s">
        <v>112</v>
      </c>
      <c r="B65" s="46" t="s">
        <v>99</v>
      </c>
      <c r="C65" s="59" t="s">
        <v>131</v>
      </c>
      <c r="D65" s="46" t="s">
        <v>211</v>
      </c>
      <c r="E65" s="2" t="s">
        <v>62</v>
      </c>
      <c r="F65" s="46" t="s">
        <v>191</v>
      </c>
      <c r="G65" s="46" t="s">
        <v>177</v>
      </c>
      <c r="H65" s="46" t="s">
        <v>190</v>
      </c>
      <c r="I65" s="59" t="s">
        <v>207</v>
      </c>
      <c r="J65" s="29">
        <v>40000</v>
      </c>
      <c r="K65" s="202">
        <v>82723</v>
      </c>
      <c r="L65" s="49">
        <v>8000</v>
      </c>
      <c r="M65" s="16">
        <v>28058</v>
      </c>
      <c r="N65" s="249">
        <f t="shared" si="18"/>
        <v>3.50725</v>
      </c>
      <c r="O65" s="161">
        <v>17500</v>
      </c>
      <c r="P65" s="82">
        <v>17500</v>
      </c>
      <c r="Q65" s="29">
        <v>55022</v>
      </c>
      <c r="R65" s="27">
        <v>55022</v>
      </c>
      <c r="S65" s="30">
        <f t="shared" si="11"/>
        <v>3.1441142857142856</v>
      </c>
      <c r="T65" s="123">
        <f t="shared" si="2"/>
        <v>3.1441142857142856</v>
      </c>
      <c r="U65" s="56">
        <v>28500</v>
      </c>
      <c r="V65" s="36">
        <v>28500</v>
      </c>
      <c r="W65" s="81" t="s">
        <v>278</v>
      </c>
      <c r="X65" s="320" t="s">
        <v>278</v>
      </c>
      <c r="Y65" s="30" t="e">
        <f t="shared" si="9"/>
        <v>#VALUE!</v>
      </c>
      <c r="Z65" s="30" t="e">
        <f t="shared" si="15"/>
        <v>#VALUE!</v>
      </c>
      <c r="AA65" s="123" t="s">
        <v>146</v>
      </c>
      <c r="AB65" s="255">
        <v>40000</v>
      </c>
      <c r="AC65" s="35">
        <f t="shared" si="17"/>
        <v>40000</v>
      </c>
      <c r="AD65" s="165"/>
      <c r="AE65" s="165"/>
      <c r="AF65" s="165"/>
      <c r="AG65" s="165"/>
      <c r="AH65" s="165">
        <v>0</v>
      </c>
      <c r="AI65" s="70" t="s">
        <v>154</v>
      </c>
      <c r="AJ65" s="270"/>
      <c r="AK65" s="165"/>
      <c r="AL65" s="173" t="s">
        <v>252</v>
      </c>
    </row>
    <row r="66" spans="1:38" ht="135" hidden="1" customHeight="1" x14ac:dyDescent="0.25">
      <c r="A66" s="248" t="s">
        <v>112</v>
      </c>
      <c r="B66" s="46" t="s">
        <v>99</v>
      </c>
      <c r="C66" s="59" t="s">
        <v>131</v>
      </c>
      <c r="D66" s="46" t="s">
        <v>211</v>
      </c>
      <c r="E66" s="2" t="s">
        <v>63</v>
      </c>
      <c r="F66" s="46" t="s">
        <v>191</v>
      </c>
      <c r="G66" s="46" t="s">
        <v>177</v>
      </c>
      <c r="H66" s="46" t="s">
        <v>190</v>
      </c>
      <c r="I66" s="59" t="s">
        <v>204</v>
      </c>
      <c r="J66" s="185">
        <v>7000</v>
      </c>
      <c r="K66" s="202">
        <v>14623</v>
      </c>
      <c r="L66" s="49">
        <v>1000</v>
      </c>
      <c r="M66" s="16">
        <v>4633</v>
      </c>
      <c r="N66" s="123">
        <f t="shared" si="18"/>
        <v>4.633</v>
      </c>
      <c r="O66" s="161">
        <v>3000</v>
      </c>
      <c r="P66" s="82">
        <v>3000</v>
      </c>
      <c r="Q66" s="29">
        <v>5117</v>
      </c>
      <c r="R66" s="27">
        <v>5117</v>
      </c>
      <c r="S66" s="30">
        <f t="shared" si="11"/>
        <v>1.7056666666666667</v>
      </c>
      <c r="T66" s="123">
        <f t="shared" si="2"/>
        <v>1.7056666666666667</v>
      </c>
      <c r="U66" s="56">
        <v>5000</v>
      </c>
      <c r="V66" s="36">
        <v>5000</v>
      </c>
      <c r="W66" s="81" t="s">
        <v>278</v>
      </c>
      <c r="X66" s="320" t="s">
        <v>278</v>
      </c>
      <c r="Y66" s="30" t="e">
        <f t="shared" si="9"/>
        <v>#VALUE!</v>
      </c>
      <c r="Z66" s="30" t="e">
        <f t="shared" si="15"/>
        <v>#VALUE!</v>
      </c>
      <c r="AA66" s="123" t="s">
        <v>146</v>
      </c>
      <c r="AB66" s="255">
        <v>7000</v>
      </c>
      <c r="AC66" s="35">
        <f t="shared" si="17"/>
        <v>7000</v>
      </c>
      <c r="AD66" s="165"/>
      <c r="AE66" s="165"/>
      <c r="AF66" s="165"/>
      <c r="AG66" s="165"/>
      <c r="AH66" s="165" t="e">
        <f>+AC66-X66</f>
        <v>#VALUE!</v>
      </c>
      <c r="AI66" s="70" t="s">
        <v>154</v>
      </c>
      <c r="AJ66" s="270"/>
      <c r="AK66" s="165"/>
      <c r="AL66" s="173" t="s">
        <v>253</v>
      </c>
    </row>
    <row r="67" spans="1:38" ht="164.25" hidden="1" customHeight="1" x14ac:dyDescent="0.25">
      <c r="A67" s="197" t="s">
        <v>112</v>
      </c>
      <c r="B67" s="46" t="s">
        <v>99</v>
      </c>
      <c r="C67" s="59" t="s">
        <v>131</v>
      </c>
      <c r="D67" s="46" t="s">
        <v>211</v>
      </c>
      <c r="E67" s="2" t="s">
        <v>64</v>
      </c>
      <c r="F67" s="46" t="s">
        <v>185</v>
      </c>
      <c r="G67" s="46" t="s">
        <v>177</v>
      </c>
      <c r="H67" s="46" t="s">
        <v>184</v>
      </c>
      <c r="I67" s="59" t="s">
        <v>207</v>
      </c>
      <c r="J67" s="190">
        <v>2000</v>
      </c>
      <c r="K67" s="200">
        <v>2709</v>
      </c>
      <c r="L67" s="49">
        <v>3227</v>
      </c>
      <c r="M67" s="16">
        <v>3321</v>
      </c>
      <c r="N67" s="123">
        <f t="shared" si="18"/>
        <v>1.0291292221877906</v>
      </c>
      <c r="O67" s="161">
        <v>3486</v>
      </c>
      <c r="P67" s="82">
        <v>3486</v>
      </c>
      <c r="Q67" s="29">
        <f>+R67-M67</f>
        <v>4215</v>
      </c>
      <c r="R67" s="27">
        <v>7536</v>
      </c>
      <c r="S67" s="30">
        <f t="shared" si="11"/>
        <v>1.2091222030981068</v>
      </c>
      <c r="T67" s="123">
        <f t="shared" si="2"/>
        <v>2.1617900172117039</v>
      </c>
      <c r="U67" s="56">
        <v>3745</v>
      </c>
      <c r="V67" s="36">
        <v>3745</v>
      </c>
      <c r="W67" s="81" t="s">
        <v>278</v>
      </c>
      <c r="X67" s="320" t="s">
        <v>278</v>
      </c>
      <c r="Y67" s="30" t="e">
        <f t="shared" si="9"/>
        <v>#VALUE!</v>
      </c>
      <c r="Z67" s="30" t="e">
        <f t="shared" si="15"/>
        <v>#VALUE!</v>
      </c>
      <c r="AA67" s="123" t="s">
        <v>146</v>
      </c>
      <c r="AB67" s="265">
        <v>4004</v>
      </c>
      <c r="AC67" s="35">
        <f t="shared" si="17"/>
        <v>2000</v>
      </c>
      <c r="AD67" s="165"/>
      <c r="AE67" s="165"/>
      <c r="AF67" s="165"/>
      <c r="AG67" s="165"/>
      <c r="AH67" s="165">
        <v>0</v>
      </c>
      <c r="AI67" s="70" t="s">
        <v>154</v>
      </c>
      <c r="AJ67" s="270"/>
      <c r="AK67" s="165"/>
      <c r="AL67" s="173" t="s">
        <v>254</v>
      </c>
    </row>
    <row r="68" spans="1:38" ht="90" hidden="1" x14ac:dyDescent="0.25">
      <c r="A68" s="197" t="s">
        <v>112</v>
      </c>
      <c r="B68" s="46" t="s">
        <v>99</v>
      </c>
      <c r="C68" s="59" t="s">
        <v>131</v>
      </c>
      <c r="D68" s="46" t="s">
        <v>212</v>
      </c>
      <c r="E68" s="217" t="s">
        <v>65</v>
      </c>
      <c r="F68" s="46" t="s">
        <v>175</v>
      </c>
      <c r="G68" s="46" t="s">
        <v>177</v>
      </c>
      <c r="H68" s="46" t="s">
        <v>188</v>
      </c>
      <c r="I68" s="59" t="s">
        <v>193</v>
      </c>
      <c r="J68" s="29">
        <v>40000</v>
      </c>
      <c r="K68" s="200">
        <v>0</v>
      </c>
      <c r="L68" s="49">
        <v>10000</v>
      </c>
      <c r="M68" s="16">
        <v>10141</v>
      </c>
      <c r="N68" s="123">
        <f>+M68/L68</f>
        <v>1.0141</v>
      </c>
      <c r="O68" s="161">
        <v>10000</v>
      </c>
      <c r="P68" s="82">
        <f>+L68+O68</f>
        <v>20000</v>
      </c>
      <c r="Q68" s="29">
        <v>12730</v>
      </c>
      <c r="R68" s="65">
        <f>+M68+Q68</f>
        <v>22871</v>
      </c>
      <c r="S68" s="30">
        <f t="shared" si="11"/>
        <v>1.2729999999999999</v>
      </c>
      <c r="T68" s="123">
        <f>+R68/$P68</f>
        <v>1.1435500000000001</v>
      </c>
      <c r="U68" s="56">
        <v>10000</v>
      </c>
      <c r="V68" s="36">
        <f>+P68+U68</f>
        <v>30000</v>
      </c>
      <c r="W68" s="304">
        <v>31977</v>
      </c>
      <c r="X68" s="63">
        <v>31977</v>
      </c>
      <c r="Y68" s="30">
        <f t="shared" si="9"/>
        <v>3.1977000000000002</v>
      </c>
      <c r="Z68" s="30">
        <f t="shared" si="15"/>
        <v>1.0659000000000001</v>
      </c>
      <c r="AA68" s="123" t="s">
        <v>115</v>
      </c>
      <c r="AB68" s="254">
        <v>10000</v>
      </c>
      <c r="AC68" s="35">
        <f>+V68+AB68</f>
        <v>40000</v>
      </c>
      <c r="AD68" s="165">
        <f>+AE68-X68</f>
        <v>7999</v>
      </c>
      <c r="AE68" s="165">
        <v>39976</v>
      </c>
      <c r="AF68" s="30">
        <f t="shared" ref="AF68" si="19">+AD68/AB68</f>
        <v>0.79990000000000006</v>
      </c>
      <c r="AG68" s="30">
        <f>+AE68/AC68</f>
        <v>0.99939999999999996</v>
      </c>
      <c r="AH68" s="165">
        <f>+AC68-AE68</f>
        <v>24</v>
      </c>
      <c r="AI68" s="76"/>
      <c r="AJ68" s="270"/>
      <c r="AK68" s="165"/>
      <c r="AL68" s="68"/>
    </row>
    <row r="69" spans="1:38" ht="165" hidden="1" x14ac:dyDescent="0.25">
      <c r="A69" s="197" t="s">
        <v>112</v>
      </c>
      <c r="B69" s="46" t="s">
        <v>99</v>
      </c>
      <c r="C69" s="59" t="s">
        <v>131</v>
      </c>
      <c r="D69" s="46" t="s">
        <v>212</v>
      </c>
      <c r="E69" s="217" t="s">
        <v>66</v>
      </c>
      <c r="F69" s="59" t="s">
        <v>185</v>
      </c>
      <c r="G69" s="46" t="s">
        <v>177</v>
      </c>
      <c r="H69" s="46" t="s">
        <v>182</v>
      </c>
      <c r="I69" s="59" t="s">
        <v>186</v>
      </c>
      <c r="J69" s="32">
        <v>0.05</v>
      </c>
      <c r="K69" s="168">
        <v>0</v>
      </c>
      <c r="L69" s="224">
        <v>0.05</v>
      </c>
      <c r="M69" s="32">
        <v>1.9E-2</v>
      </c>
      <c r="N69" s="123"/>
      <c r="O69" s="226">
        <v>0.05</v>
      </c>
      <c r="P69" s="228">
        <v>0.05</v>
      </c>
      <c r="Q69" s="32">
        <v>1.6999999999999999E-3</v>
      </c>
      <c r="R69" s="31">
        <v>1.6999999999999999E-3</v>
      </c>
      <c r="S69" s="30">
        <f>+Q69/O69</f>
        <v>3.3999999999999996E-2</v>
      </c>
      <c r="T69" s="123">
        <f>+R69/$P69</f>
        <v>3.3999999999999996E-2</v>
      </c>
      <c r="U69" s="151">
        <v>0.05</v>
      </c>
      <c r="V69" s="31">
        <v>0.05</v>
      </c>
      <c r="W69" s="305" t="s">
        <v>278</v>
      </c>
      <c r="X69" s="90" t="s">
        <v>278</v>
      </c>
      <c r="Y69" s="30" t="e">
        <f t="shared" ref="Y69:Y82" si="20">+W69/U69</f>
        <v>#VALUE!</v>
      </c>
      <c r="Z69" s="30" t="e">
        <f t="shared" si="15"/>
        <v>#VALUE!</v>
      </c>
      <c r="AA69" s="123" t="s">
        <v>146</v>
      </c>
      <c r="AB69" s="266">
        <v>0.05</v>
      </c>
      <c r="AC69" s="33">
        <f>+J69</f>
        <v>0.05</v>
      </c>
      <c r="AD69" s="168"/>
      <c r="AE69" s="168"/>
      <c r="AF69" s="168"/>
      <c r="AG69" s="168"/>
      <c r="AH69" s="168" t="e">
        <f t="shared" ref="AH69:AH74" si="21">+AC69-X69</f>
        <v>#VALUE!</v>
      </c>
      <c r="AI69" s="70" t="s">
        <v>154</v>
      </c>
      <c r="AJ69" s="270"/>
      <c r="AK69" s="168"/>
      <c r="AL69" s="173" t="s">
        <v>255</v>
      </c>
    </row>
    <row r="70" spans="1:38" ht="90" hidden="1" x14ac:dyDescent="0.25">
      <c r="A70" s="197" t="s">
        <v>112</v>
      </c>
      <c r="B70" s="46" t="s">
        <v>99</v>
      </c>
      <c r="C70" s="59" t="s">
        <v>131</v>
      </c>
      <c r="D70" s="46" t="s">
        <v>211</v>
      </c>
      <c r="E70" s="2" t="s">
        <v>67</v>
      </c>
      <c r="F70" s="46" t="s">
        <v>175</v>
      </c>
      <c r="G70" s="46" t="s">
        <v>177</v>
      </c>
      <c r="H70" s="46" t="s">
        <v>188</v>
      </c>
      <c r="I70" s="59" t="s">
        <v>204</v>
      </c>
      <c r="J70" s="29">
        <v>20</v>
      </c>
      <c r="K70" s="200">
        <v>0</v>
      </c>
      <c r="L70" s="49">
        <v>2</v>
      </c>
      <c r="M70" s="29">
        <v>0</v>
      </c>
      <c r="N70" s="123">
        <f>+M70/L70</f>
        <v>0</v>
      </c>
      <c r="O70" s="161">
        <v>4</v>
      </c>
      <c r="P70" s="82">
        <f>+L70+O70</f>
        <v>6</v>
      </c>
      <c r="Q70" s="29">
        <f>+R70-M70</f>
        <v>0</v>
      </c>
      <c r="R70" s="11">
        <v>0</v>
      </c>
      <c r="S70" s="30">
        <f t="shared" si="11"/>
        <v>0</v>
      </c>
      <c r="T70" s="123">
        <f t="shared" ref="T70:T82" si="22">+R70/$P70</f>
        <v>0</v>
      </c>
      <c r="U70" s="56">
        <v>6</v>
      </c>
      <c r="V70" s="36">
        <v>6</v>
      </c>
      <c r="W70" s="81" t="s">
        <v>278</v>
      </c>
      <c r="X70" s="309" t="s">
        <v>278</v>
      </c>
      <c r="Y70" s="30" t="e">
        <f t="shared" si="20"/>
        <v>#VALUE!</v>
      </c>
      <c r="Z70" s="30" t="e">
        <f t="shared" ref="Z70:Z82" si="23">+X70/$V70</f>
        <v>#VALUE!</v>
      </c>
      <c r="AA70" s="123" t="s">
        <v>146</v>
      </c>
      <c r="AB70" s="254">
        <v>8</v>
      </c>
      <c r="AC70" s="35">
        <f>+L70+O70+U70+AB70</f>
        <v>20</v>
      </c>
      <c r="AD70" s="165"/>
      <c r="AE70" s="165"/>
      <c r="AF70" s="165"/>
      <c r="AG70" s="165"/>
      <c r="AH70" s="165" t="e">
        <f t="shared" si="21"/>
        <v>#VALUE!</v>
      </c>
      <c r="AI70" s="70" t="s">
        <v>154</v>
      </c>
      <c r="AJ70" s="273" t="s">
        <v>84</v>
      </c>
      <c r="AK70" s="165"/>
      <c r="AL70" s="68"/>
    </row>
    <row r="71" spans="1:38" ht="375" hidden="1" x14ac:dyDescent="0.25">
      <c r="A71" s="196" t="s">
        <v>110</v>
      </c>
      <c r="B71" s="46" t="s">
        <v>101</v>
      </c>
      <c r="C71" s="59" t="s">
        <v>136</v>
      </c>
      <c r="D71" s="46" t="s">
        <v>211</v>
      </c>
      <c r="E71" s="2" t="s">
        <v>68</v>
      </c>
      <c r="F71" s="46" t="s">
        <v>191</v>
      </c>
      <c r="G71" s="46" t="s">
        <v>177</v>
      </c>
      <c r="H71" s="46" t="s">
        <v>184</v>
      </c>
      <c r="I71" s="59" t="s">
        <v>183</v>
      </c>
      <c r="J71" s="38">
        <v>1</v>
      </c>
      <c r="K71" s="168">
        <v>0</v>
      </c>
      <c r="L71" s="84">
        <v>0</v>
      </c>
      <c r="M71" s="108">
        <v>0</v>
      </c>
      <c r="N71" s="143" t="s">
        <v>261</v>
      </c>
      <c r="O71" s="158">
        <f>+P71-L71</f>
        <v>0.35</v>
      </c>
      <c r="P71" s="48">
        <v>0.35</v>
      </c>
      <c r="Q71" s="32">
        <f>+R71-M71</f>
        <v>0.54500000000000004</v>
      </c>
      <c r="R71" s="41">
        <v>0.54500000000000004</v>
      </c>
      <c r="S71" s="30">
        <f t="shared" si="11"/>
        <v>1.5571428571428574</v>
      </c>
      <c r="T71" s="123">
        <f t="shared" si="22"/>
        <v>1.5571428571428574</v>
      </c>
      <c r="U71" s="51">
        <v>0.7</v>
      </c>
      <c r="V71" s="48">
        <v>0.7</v>
      </c>
      <c r="W71" s="40">
        <v>0.6</v>
      </c>
      <c r="X71" s="40">
        <v>0.6</v>
      </c>
      <c r="Y71" s="30">
        <f t="shared" si="20"/>
        <v>0.85714285714285721</v>
      </c>
      <c r="Z71" s="30">
        <f t="shared" si="23"/>
        <v>0.85714285714285721</v>
      </c>
      <c r="AA71" s="123" t="s">
        <v>115</v>
      </c>
      <c r="AB71" s="252">
        <v>1</v>
      </c>
      <c r="AC71" s="150">
        <f>+J71</f>
        <v>1</v>
      </c>
      <c r="AD71" s="176"/>
      <c r="AE71" s="176"/>
      <c r="AF71" s="176"/>
      <c r="AG71" s="176"/>
      <c r="AH71" s="176">
        <f t="shared" si="21"/>
        <v>0.4</v>
      </c>
      <c r="AI71" s="70" t="s">
        <v>113</v>
      </c>
      <c r="AJ71" s="270" t="s">
        <v>121</v>
      </c>
      <c r="AK71" s="176"/>
      <c r="AL71" s="68"/>
    </row>
    <row r="72" spans="1:38" ht="375" hidden="1" x14ac:dyDescent="0.25">
      <c r="A72" s="196" t="s">
        <v>110</v>
      </c>
      <c r="B72" s="46" t="s">
        <v>101</v>
      </c>
      <c r="C72" s="59" t="s">
        <v>136</v>
      </c>
      <c r="D72" s="46" t="s">
        <v>211</v>
      </c>
      <c r="E72" s="2" t="s">
        <v>69</v>
      </c>
      <c r="F72" s="46" t="s">
        <v>191</v>
      </c>
      <c r="G72" s="46" t="s">
        <v>177</v>
      </c>
      <c r="H72" s="46" t="s">
        <v>184</v>
      </c>
      <c r="I72" s="59" t="s">
        <v>183</v>
      </c>
      <c r="J72" s="38">
        <v>1</v>
      </c>
      <c r="K72" s="205">
        <v>0</v>
      </c>
      <c r="L72" s="85">
        <v>0.05</v>
      </c>
      <c r="M72" s="41">
        <v>0.05</v>
      </c>
      <c r="N72" s="123">
        <f t="shared" ref="N72:N78" si="24">+M72/L72</f>
        <v>1</v>
      </c>
      <c r="O72" s="158">
        <v>0.3</v>
      </c>
      <c r="P72" s="48">
        <v>0.3</v>
      </c>
      <c r="Q72" s="32">
        <f>+R72-M72</f>
        <v>9.9999999999999992E-2</v>
      </c>
      <c r="R72" s="41">
        <v>0.15</v>
      </c>
      <c r="S72" s="30">
        <f t="shared" si="11"/>
        <v>0.33333333333333331</v>
      </c>
      <c r="T72" s="123">
        <f t="shared" si="22"/>
        <v>0.5</v>
      </c>
      <c r="U72" s="51">
        <v>0.5</v>
      </c>
      <c r="V72" s="48">
        <v>0.5</v>
      </c>
      <c r="W72" s="90">
        <v>0.2</v>
      </c>
      <c r="X72" s="90">
        <v>0.2</v>
      </c>
      <c r="Y72" s="30">
        <f t="shared" si="20"/>
        <v>0.4</v>
      </c>
      <c r="Z72" s="30">
        <f t="shared" si="23"/>
        <v>0.4</v>
      </c>
      <c r="AA72" s="123" t="s">
        <v>115</v>
      </c>
      <c r="AB72" s="252">
        <v>1</v>
      </c>
      <c r="AC72" s="150">
        <f>+J72</f>
        <v>1</v>
      </c>
      <c r="AD72" s="176"/>
      <c r="AE72" s="176"/>
      <c r="AF72" s="176"/>
      <c r="AG72" s="176"/>
      <c r="AH72" s="176">
        <f t="shared" si="21"/>
        <v>0.8</v>
      </c>
      <c r="AI72" s="70" t="s">
        <v>113</v>
      </c>
      <c r="AJ72" s="270" t="s">
        <v>121</v>
      </c>
      <c r="AK72" s="176"/>
      <c r="AL72" s="68"/>
    </row>
    <row r="73" spans="1:38" ht="120" hidden="1" x14ac:dyDescent="0.25">
      <c r="A73" s="197" t="s">
        <v>112</v>
      </c>
      <c r="B73" s="46" t="s">
        <v>99</v>
      </c>
      <c r="C73" s="59" t="s">
        <v>131</v>
      </c>
      <c r="D73" s="46" t="s">
        <v>211</v>
      </c>
      <c r="E73" s="2" t="s">
        <v>70</v>
      </c>
      <c r="F73" s="46" t="s">
        <v>175</v>
      </c>
      <c r="G73" s="46" t="s">
        <v>177</v>
      </c>
      <c r="H73" s="46" t="s">
        <v>188</v>
      </c>
      <c r="I73" s="59" t="s">
        <v>208</v>
      </c>
      <c r="J73" s="29">
        <v>8000</v>
      </c>
      <c r="K73" s="200">
        <v>1300</v>
      </c>
      <c r="L73" s="49">
        <v>1500</v>
      </c>
      <c r="M73" s="29">
        <v>0</v>
      </c>
      <c r="N73" s="123">
        <f t="shared" si="24"/>
        <v>0</v>
      </c>
      <c r="O73" s="161">
        <v>2000</v>
      </c>
      <c r="P73" s="144">
        <f>+L73+O73</f>
        <v>3500</v>
      </c>
      <c r="Q73" s="27">
        <v>1500</v>
      </c>
      <c r="R73" s="27">
        <f>+M73+Q73</f>
        <v>1500</v>
      </c>
      <c r="S73" s="30">
        <f t="shared" si="11"/>
        <v>0.75</v>
      </c>
      <c r="T73" s="123">
        <f t="shared" si="22"/>
        <v>0.42857142857142855</v>
      </c>
      <c r="U73" s="56">
        <v>2000</v>
      </c>
      <c r="V73" s="36">
        <v>2000</v>
      </c>
      <c r="W73" s="81" t="s">
        <v>278</v>
      </c>
      <c r="X73" s="309" t="s">
        <v>278</v>
      </c>
      <c r="Y73" s="30" t="e">
        <f t="shared" si="20"/>
        <v>#VALUE!</v>
      </c>
      <c r="Z73" s="30" t="e">
        <f t="shared" si="23"/>
        <v>#VALUE!</v>
      </c>
      <c r="AA73" s="123" t="s">
        <v>146</v>
      </c>
      <c r="AB73" s="254">
        <v>2500</v>
      </c>
      <c r="AC73" s="35">
        <f>+L73+O73+U73+AB73</f>
        <v>8000</v>
      </c>
      <c r="AD73" s="165"/>
      <c r="AE73" s="165"/>
      <c r="AF73" s="165"/>
      <c r="AG73" s="165"/>
      <c r="AH73" s="165" t="e">
        <f t="shared" si="21"/>
        <v>#VALUE!</v>
      </c>
      <c r="AI73" s="70" t="s">
        <v>154</v>
      </c>
      <c r="AJ73" s="270"/>
      <c r="AK73" s="165"/>
      <c r="AL73" s="173" t="s">
        <v>256</v>
      </c>
    </row>
    <row r="74" spans="1:38" s="142" customFormat="1" ht="123" hidden="1" customHeight="1" x14ac:dyDescent="0.25">
      <c r="A74" s="196" t="s">
        <v>110</v>
      </c>
      <c r="B74" s="46" t="s">
        <v>101</v>
      </c>
      <c r="C74" s="59" t="s">
        <v>137</v>
      </c>
      <c r="D74" s="46" t="s">
        <v>211</v>
      </c>
      <c r="E74" s="2" t="s">
        <v>71</v>
      </c>
      <c r="F74" s="46" t="s">
        <v>175</v>
      </c>
      <c r="G74" s="46" t="s">
        <v>177</v>
      </c>
      <c r="H74" s="46" t="s">
        <v>188</v>
      </c>
      <c r="I74" s="59" t="s">
        <v>195</v>
      </c>
      <c r="J74" s="191">
        <v>46000</v>
      </c>
      <c r="K74" s="200">
        <v>43429</v>
      </c>
      <c r="L74" s="213">
        <v>1000</v>
      </c>
      <c r="M74" s="43">
        <v>2458</v>
      </c>
      <c r="N74" s="123">
        <f>+M74/L74</f>
        <v>2.4580000000000002</v>
      </c>
      <c r="O74" s="223">
        <v>15000</v>
      </c>
      <c r="P74" s="331">
        <f>+L74+O74</f>
        <v>16000</v>
      </c>
      <c r="Q74" s="42">
        <f>+R74-M74</f>
        <v>967</v>
      </c>
      <c r="R74" s="43">
        <v>3425</v>
      </c>
      <c r="S74" s="145">
        <f t="shared" si="11"/>
        <v>6.4466666666666672E-2</v>
      </c>
      <c r="T74" s="143">
        <f t="shared" si="22"/>
        <v>0.21406249999999999</v>
      </c>
      <c r="U74" s="237">
        <v>15000</v>
      </c>
      <c r="V74" s="332">
        <f>+P74+U74</f>
        <v>31000</v>
      </c>
      <c r="W74" s="43">
        <v>1210</v>
      </c>
      <c r="X74" s="66">
        <f>+R74+W74</f>
        <v>4635</v>
      </c>
      <c r="Y74" s="145">
        <f t="shared" si="20"/>
        <v>8.0666666666666664E-2</v>
      </c>
      <c r="Z74" s="145">
        <f t="shared" si="23"/>
        <v>0.14951612903225805</v>
      </c>
      <c r="AA74" s="143" t="s">
        <v>115</v>
      </c>
      <c r="AB74" s="257">
        <v>15000</v>
      </c>
      <c r="AC74" s="333">
        <f>+L74+O74+U74+AB74</f>
        <v>46000</v>
      </c>
      <c r="AD74" s="165"/>
      <c r="AE74" s="165"/>
      <c r="AF74" s="165"/>
      <c r="AG74" s="165"/>
      <c r="AH74" s="172">
        <f t="shared" si="21"/>
        <v>41365</v>
      </c>
      <c r="AI74" s="70" t="s">
        <v>113</v>
      </c>
      <c r="AJ74" s="270" t="s">
        <v>96</v>
      </c>
      <c r="AK74" s="172"/>
      <c r="AL74" s="173" t="s">
        <v>257</v>
      </c>
    </row>
    <row r="75" spans="1:38" s="141" customFormat="1" ht="143.25" hidden="1" customHeight="1" x14ac:dyDescent="0.25">
      <c r="A75" s="196" t="s">
        <v>110</v>
      </c>
      <c r="B75" s="46" t="s">
        <v>101</v>
      </c>
      <c r="C75" s="59" t="s">
        <v>137</v>
      </c>
      <c r="D75" s="46" t="s">
        <v>211</v>
      </c>
      <c r="E75" s="4" t="s">
        <v>72</v>
      </c>
      <c r="F75" s="59" t="s">
        <v>179</v>
      </c>
      <c r="G75" s="46" t="s">
        <v>178</v>
      </c>
      <c r="H75" s="46" t="s">
        <v>182</v>
      </c>
      <c r="I75" s="59" t="s">
        <v>183</v>
      </c>
      <c r="J75" s="13">
        <v>0.85</v>
      </c>
      <c r="K75" s="206" t="s">
        <v>260</v>
      </c>
      <c r="L75" s="224">
        <v>1</v>
      </c>
      <c r="M75" s="86">
        <v>0</v>
      </c>
      <c r="N75" s="123">
        <f t="shared" si="24"/>
        <v>0</v>
      </c>
      <c r="O75" s="227">
        <v>1</v>
      </c>
      <c r="P75" s="228">
        <v>1</v>
      </c>
      <c r="Q75" s="13">
        <v>0.04</v>
      </c>
      <c r="R75" s="13">
        <v>0.04</v>
      </c>
      <c r="S75" s="30">
        <f>+Q75/O75</f>
        <v>0.04</v>
      </c>
      <c r="T75" s="123">
        <f t="shared" si="22"/>
        <v>0.04</v>
      </c>
      <c r="U75" s="151">
        <v>0.8</v>
      </c>
      <c r="V75" s="31">
        <v>0.8</v>
      </c>
      <c r="W75" s="44">
        <v>0.73399999999999999</v>
      </c>
      <c r="X75" s="44">
        <v>0.73399999999999999</v>
      </c>
      <c r="Y75" s="30">
        <f t="shared" si="20"/>
        <v>0.91749999999999998</v>
      </c>
      <c r="Z75" s="30">
        <f t="shared" si="23"/>
        <v>0.91749999999999998</v>
      </c>
      <c r="AA75" s="123" t="s">
        <v>115</v>
      </c>
      <c r="AB75" s="267">
        <v>0.85</v>
      </c>
      <c r="AC75" s="26">
        <f t="shared" ref="AC75:AC80" si="25">+J75</f>
        <v>0.85</v>
      </c>
      <c r="AD75" s="167"/>
      <c r="AE75" s="167"/>
      <c r="AF75" s="167"/>
      <c r="AG75" s="167"/>
      <c r="AH75" s="167">
        <v>0.85</v>
      </c>
      <c r="AI75" s="70"/>
      <c r="AJ75" s="270"/>
      <c r="AK75" s="167"/>
      <c r="AL75" s="153" t="s">
        <v>216</v>
      </c>
    </row>
    <row r="76" spans="1:38" s="141" customFormat="1" ht="101.25" hidden="1" customHeight="1" x14ac:dyDescent="0.25">
      <c r="A76" s="196" t="s">
        <v>110</v>
      </c>
      <c r="B76" s="46" t="s">
        <v>101</v>
      </c>
      <c r="C76" s="59" t="s">
        <v>137</v>
      </c>
      <c r="D76" s="46" t="s">
        <v>211</v>
      </c>
      <c r="E76" s="2" t="s">
        <v>73</v>
      </c>
      <c r="F76" s="59" t="s">
        <v>179</v>
      </c>
      <c r="G76" s="46" t="s">
        <v>178</v>
      </c>
      <c r="H76" s="46" t="s">
        <v>182</v>
      </c>
      <c r="I76" s="59" t="s">
        <v>183</v>
      </c>
      <c r="J76" s="38">
        <v>1</v>
      </c>
      <c r="K76" s="206" t="s">
        <v>260</v>
      </c>
      <c r="L76" s="225">
        <v>1</v>
      </c>
      <c r="M76" s="87">
        <v>0</v>
      </c>
      <c r="N76" s="123">
        <f t="shared" si="24"/>
        <v>0</v>
      </c>
      <c r="O76" s="227">
        <v>1</v>
      </c>
      <c r="P76" s="228">
        <v>1</v>
      </c>
      <c r="Q76" s="38">
        <v>7.0000000000000007E-2</v>
      </c>
      <c r="R76" s="38">
        <v>7.0000000000000007E-2</v>
      </c>
      <c r="S76" s="30">
        <f t="shared" si="11"/>
        <v>7.0000000000000007E-2</v>
      </c>
      <c r="T76" s="123">
        <f t="shared" si="22"/>
        <v>7.0000000000000007E-2</v>
      </c>
      <c r="U76" s="152">
        <v>1</v>
      </c>
      <c r="V76" s="40">
        <v>1</v>
      </c>
      <c r="W76" s="44">
        <v>0.04</v>
      </c>
      <c r="X76" s="44">
        <v>0.04</v>
      </c>
      <c r="Y76" s="30">
        <f t="shared" si="20"/>
        <v>0.04</v>
      </c>
      <c r="Z76" s="30">
        <f t="shared" si="23"/>
        <v>0.04</v>
      </c>
      <c r="AA76" s="123" t="s">
        <v>115</v>
      </c>
      <c r="AB76" s="267">
        <v>1</v>
      </c>
      <c r="AC76" s="150">
        <f t="shared" si="25"/>
        <v>1</v>
      </c>
      <c r="AD76" s="176"/>
      <c r="AE76" s="176"/>
      <c r="AF76" s="176"/>
      <c r="AG76" s="176"/>
      <c r="AH76" s="176">
        <v>1</v>
      </c>
      <c r="AI76" s="70" t="s">
        <v>113</v>
      </c>
      <c r="AJ76" s="270" t="s">
        <v>97</v>
      </c>
      <c r="AK76" s="176"/>
      <c r="AL76" s="68"/>
    </row>
    <row r="77" spans="1:38" ht="409.5" hidden="1" x14ac:dyDescent="0.25">
      <c r="A77" s="196" t="s">
        <v>110</v>
      </c>
      <c r="B77" s="46" t="s">
        <v>101</v>
      </c>
      <c r="C77" s="59" t="s">
        <v>137</v>
      </c>
      <c r="D77" s="46" t="s">
        <v>211</v>
      </c>
      <c r="E77" s="2" t="s">
        <v>74</v>
      </c>
      <c r="F77" s="59" t="s">
        <v>179</v>
      </c>
      <c r="G77" s="46" t="s">
        <v>180</v>
      </c>
      <c r="H77" s="46" t="s">
        <v>182</v>
      </c>
      <c r="I77" s="59" t="s">
        <v>183</v>
      </c>
      <c r="J77" s="38">
        <v>1</v>
      </c>
      <c r="K77" s="206" t="s">
        <v>260</v>
      </c>
      <c r="L77" s="225">
        <v>1</v>
      </c>
      <c r="M77" s="45">
        <v>0.23</v>
      </c>
      <c r="N77" s="123">
        <f t="shared" si="24"/>
        <v>0.23</v>
      </c>
      <c r="O77" s="227">
        <v>1</v>
      </c>
      <c r="P77" s="228">
        <v>1</v>
      </c>
      <c r="Q77" s="45">
        <v>0.24</v>
      </c>
      <c r="R77" s="45">
        <v>0.24</v>
      </c>
      <c r="S77" s="30">
        <f t="shared" si="11"/>
        <v>0.24</v>
      </c>
      <c r="T77" s="123">
        <f t="shared" si="22"/>
        <v>0.24</v>
      </c>
      <c r="U77" s="152">
        <v>1</v>
      </c>
      <c r="V77" s="40">
        <v>1</v>
      </c>
      <c r="W77" s="91" t="s">
        <v>278</v>
      </c>
      <c r="X77" s="91" t="s">
        <v>278</v>
      </c>
      <c r="Y77" s="30" t="e">
        <f t="shared" si="20"/>
        <v>#VALUE!</v>
      </c>
      <c r="Z77" s="30" t="e">
        <f t="shared" si="23"/>
        <v>#VALUE!</v>
      </c>
      <c r="AA77" s="123" t="s">
        <v>146</v>
      </c>
      <c r="AB77" s="267">
        <v>1</v>
      </c>
      <c r="AC77" s="150">
        <f t="shared" si="25"/>
        <v>1</v>
      </c>
      <c r="AD77" s="176"/>
      <c r="AE77" s="176"/>
      <c r="AF77" s="176"/>
      <c r="AG77" s="176"/>
      <c r="AH77" s="176" t="e">
        <f t="shared" ref="AH77:AH82" si="26">+AC77-X77</f>
        <v>#VALUE!</v>
      </c>
      <c r="AI77" s="70" t="s">
        <v>113</v>
      </c>
      <c r="AJ77" s="270" t="s">
        <v>98</v>
      </c>
      <c r="AK77" s="176"/>
      <c r="AL77" s="68"/>
    </row>
    <row r="78" spans="1:38" ht="240" hidden="1" customHeight="1" x14ac:dyDescent="0.25">
      <c r="A78" s="196" t="s">
        <v>111</v>
      </c>
      <c r="B78" s="46" t="s">
        <v>101</v>
      </c>
      <c r="C78" s="59" t="s">
        <v>138</v>
      </c>
      <c r="D78" s="46" t="s">
        <v>211</v>
      </c>
      <c r="E78" s="2" t="s">
        <v>75</v>
      </c>
      <c r="F78" s="46" t="s">
        <v>175</v>
      </c>
      <c r="G78" s="46" t="s">
        <v>178</v>
      </c>
      <c r="H78" s="46" t="s">
        <v>184</v>
      </c>
      <c r="I78" s="59" t="s">
        <v>209</v>
      </c>
      <c r="J78" s="27">
        <v>95</v>
      </c>
      <c r="K78" s="200">
        <v>94</v>
      </c>
      <c r="L78" s="214">
        <v>12</v>
      </c>
      <c r="M78" s="11">
        <v>12</v>
      </c>
      <c r="N78" s="123">
        <f t="shared" si="24"/>
        <v>1</v>
      </c>
      <c r="O78" s="160">
        <v>95</v>
      </c>
      <c r="P78" s="232">
        <v>95</v>
      </c>
      <c r="Q78" s="29">
        <f>+R78-M78</f>
        <v>76</v>
      </c>
      <c r="R78" s="11">
        <v>88</v>
      </c>
      <c r="S78" s="30">
        <f t="shared" si="11"/>
        <v>0.8</v>
      </c>
      <c r="T78" s="123">
        <f t="shared" si="22"/>
        <v>0.9263157894736842</v>
      </c>
      <c r="U78" s="56">
        <v>95</v>
      </c>
      <c r="V78" s="36">
        <v>95</v>
      </c>
      <c r="W78" s="329">
        <v>73</v>
      </c>
      <c r="X78" s="329">
        <v>73</v>
      </c>
      <c r="Y78" s="30">
        <f t="shared" si="20"/>
        <v>0.76842105263157889</v>
      </c>
      <c r="Z78" s="30">
        <f t="shared" si="23"/>
        <v>0.76842105263157889</v>
      </c>
      <c r="AA78" s="123" t="s">
        <v>115</v>
      </c>
      <c r="AB78" s="255">
        <v>95</v>
      </c>
      <c r="AC78" s="36">
        <f t="shared" si="25"/>
        <v>95</v>
      </c>
      <c r="AD78" s="162"/>
      <c r="AE78" s="162"/>
      <c r="AF78" s="162"/>
      <c r="AG78" s="162"/>
      <c r="AH78" s="162">
        <f t="shared" si="26"/>
        <v>22</v>
      </c>
      <c r="AI78" s="70" t="s">
        <v>113</v>
      </c>
      <c r="AJ78" s="270" t="s">
        <v>149</v>
      </c>
      <c r="AK78" s="162"/>
      <c r="AL78" s="173" t="s">
        <v>258</v>
      </c>
    </row>
    <row r="79" spans="1:38" ht="315" hidden="1" x14ac:dyDescent="0.25">
      <c r="A79" s="196" t="s">
        <v>111</v>
      </c>
      <c r="B79" s="46" t="s">
        <v>101</v>
      </c>
      <c r="C79" s="59" t="s">
        <v>138</v>
      </c>
      <c r="D79" s="46" t="s">
        <v>211</v>
      </c>
      <c r="E79" s="2" t="s">
        <v>76</v>
      </c>
      <c r="F79" s="46" t="s">
        <v>175</v>
      </c>
      <c r="G79" s="46" t="s">
        <v>178</v>
      </c>
      <c r="H79" s="46" t="s">
        <v>184</v>
      </c>
      <c r="I79" s="59" t="s">
        <v>183</v>
      </c>
      <c r="J79" s="23">
        <v>0.5</v>
      </c>
      <c r="K79" s="206" t="s">
        <v>260</v>
      </c>
      <c r="L79" s="212">
        <v>0</v>
      </c>
      <c r="M79" s="88">
        <v>0</v>
      </c>
      <c r="N79" s="123">
        <v>0</v>
      </c>
      <c r="O79" s="182">
        <f>+P79-L79</f>
        <v>0.2</v>
      </c>
      <c r="P79" s="228">
        <v>0.2</v>
      </c>
      <c r="Q79" s="15">
        <v>0.03</v>
      </c>
      <c r="R79" s="12">
        <v>0.03</v>
      </c>
      <c r="S79" s="30">
        <f t="shared" si="11"/>
        <v>0.15</v>
      </c>
      <c r="T79" s="123">
        <f t="shared" si="22"/>
        <v>0.15</v>
      </c>
      <c r="U79" s="125">
        <v>0.3</v>
      </c>
      <c r="V79" s="34">
        <v>0.3</v>
      </c>
      <c r="W79" s="325">
        <v>0.18</v>
      </c>
      <c r="X79" s="325">
        <v>0.18</v>
      </c>
      <c r="Y79" s="30">
        <f t="shared" si="20"/>
        <v>0.6</v>
      </c>
      <c r="Z79" s="30">
        <f t="shared" si="23"/>
        <v>0.6</v>
      </c>
      <c r="AA79" s="123" t="s">
        <v>115</v>
      </c>
      <c r="AB79" s="252">
        <v>0.5</v>
      </c>
      <c r="AC79" s="245">
        <f t="shared" si="25"/>
        <v>0.5</v>
      </c>
      <c r="AD79" s="177"/>
      <c r="AE79" s="177"/>
      <c r="AF79" s="177"/>
      <c r="AG79" s="177"/>
      <c r="AH79" s="177">
        <f t="shared" si="26"/>
        <v>0.32</v>
      </c>
      <c r="AI79" s="70" t="s">
        <v>113</v>
      </c>
      <c r="AJ79" s="270" t="s">
        <v>149</v>
      </c>
      <c r="AK79" s="177"/>
      <c r="AL79" s="68"/>
    </row>
    <row r="80" spans="1:38" ht="135" hidden="1" x14ac:dyDescent="0.25">
      <c r="A80" s="196" t="s">
        <v>111</v>
      </c>
      <c r="B80" s="46" t="s">
        <v>101</v>
      </c>
      <c r="C80" s="59" t="s">
        <v>138</v>
      </c>
      <c r="D80" s="46" t="s">
        <v>211</v>
      </c>
      <c r="E80" s="2" t="s">
        <v>77</v>
      </c>
      <c r="F80" s="46" t="s">
        <v>175</v>
      </c>
      <c r="G80" s="46" t="s">
        <v>180</v>
      </c>
      <c r="H80" s="46" t="s">
        <v>184</v>
      </c>
      <c r="I80" s="59" t="s">
        <v>210</v>
      </c>
      <c r="J80" s="27">
        <v>282</v>
      </c>
      <c r="K80" s="202" t="s">
        <v>260</v>
      </c>
      <c r="L80" s="49">
        <v>103</v>
      </c>
      <c r="M80" s="20">
        <v>121</v>
      </c>
      <c r="N80" s="123">
        <f>+M80/L80</f>
        <v>1.174757281553398</v>
      </c>
      <c r="O80" s="160">
        <v>163</v>
      </c>
      <c r="P80" s="232">
        <v>163</v>
      </c>
      <c r="Q80" s="29">
        <f>+R80-M80</f>
        <v>99</v>
      </c>
      <c r="R80" s="20">
        <v>220</v>
      </c>
      <c r="S80" s="30">
        <f t="shared" si="11"/>
        <v>0.6073619631901841</v>
      </c>
      <c r="T80" s="123">
        <f t="shared" si="22"/>
        <v>1.3496932515337423</v>
      </c>
      <c r="U80" s="56">
        <v>223</v>
      </c>
      <c r="V80" s="36">
        <v>223</v>
      </c>
      <c r="W80" s="102" t="s">
        <v>278</v>
      </c>
      <c r="X80" s="102" t="s">
        <v>278</v>
      </c>
      <c r="Y80" s="30" t="e">
        <f t="shared" si="20"/>
        <v>#VALUE!</v>
      </c>
      <c r="Z80" s="30" t="e">
        <f t="shared" si="23"/>
        <v>#VALUE!</v>
      </c>
      <c r="AA80" s="123" t="s">
        <v>146</v>
      </c>
      <c r="AB80" s="255">
        <v>282</v>
      </c>
      <c r="AC80" s="36">
        <f t="shared" si="25"/>
        <v>282</v>
      </c>
      <c r="AD80" s="162"/>
      <c r="AE80" s="162"/>
      <c r="AF80" s="162"/>
      <c r="AG80" s="162"/>
      <c r="AH80" s="162" t="e">
        <f t="shared" si="26"/>
        <v>#VALUE!</v>
      </c>
      <c r="AI80" s="70" t="s">
        <v>154</v>
      </c>
      <c r="AJ80" s="270"/>
      <c r="AK80" s="162"/>
      <c r="AL80" s="68"/>
    </row>
    <row r="81" spans="1:38" ht="409.5" hidden="1" x14ac:dyDescent="0.25">
      <c r="A81" s="196" t="s">
        <v>110</v>
      </c>
      <c r="B81" s="46" t="s">
        <v>101</v>
      </c>
      <c r="C81" s="59" t="s">
        <v>126</v>
      </c>
      <c r="D81" s="46" t="s">
        <v>211</v>
      </c>
      <c r="E81" s="2" t="s">
        <v>78</v>
      </c>
      <c r="F81" s="46" t="s">
        <v>175</v>
      </c>
      <c r="G81" s="46" t="s">
        <v>177</v>
      </c>
      <c r="H81" s="46" t="s">
        <v>188</v>
      </c>
      <c r="I81" s="59" t="s">
        <v>183</v>
      </c>
      <c r="J81" s="38">
        <v>1</v>
      </c>
      <c r="K81" s="206" t="s">
        <v>260</v>
      </c>
      <c r="L81" s="215">
        <v>0</v>
      </c>
      <c r="M81" s="88">
        <v>0</v>
      </c>
      <c r="N81" s="123" t="s">
        <v>261</v>
      </c>
      <c r="O81" s="182">
        <v>0.5</v>
      </c>
      <c r="P81" s="148">
        <v>0.5</v>
      </c>
      <c r="Q81" s="146">
        <v>0.5</v>
      </c>
      <c r="R81" s="146">
        <v>0.5</v>
      </c>
      <c r="S81" s="30">
        <f t="shared" si="11"/>
        <v>1</v>
      </c>
      <c r="T81" s="123">
        <f t="shared" si="22"/>
        <v>1</v>
      </c>
      <c r="U81" s="127">
        <v>0.5</v>
      </c>
      <c r="V81" s="147">
        <v>0.5</v>
      </c>
      <c r="W81" s="44">
        <v>0.9</v>
      </c>
      <c r="X81" s="44">
        <v>0.9</v>
      </c>
      <c r="Y81" s="30">
        <f t="shared" si="20"/>
        <v>1.8</v>
      </c>
      <c r="Z81" s="30">
        <f t="shared" si="23"/>
        <v>1.8</v>
      </c>
      <c r="AA81" s="123" t="s">
        <v>115</v>
      </c>
      <c r="AB81" s="256">
        <v>0</v>
      </c>
      <c r="AC81" s="240">
        <f>+L81+O81+U81+AB81</f>
        <v>1</v>
      </c>
      <c r="AD81" s="297"/>
      <c r="AE81" s="297"/>
      <c r="AF81" s="297"/>
      <c r="AG81" s="297"/>
      <c r="AH81" s="176">
        <f t="shared" si="26"/>
        <v>9.9999999999999978E-2</v>
      </c>
      <c r="AI81" s="70"/>
      <c r="AJ81" s="274" t="s">
        <v>98</v>
      </c>
      <c r="AK81" s="176"/>
      <c r="AL81" s="68"/>
    </row>
    <row r="82" spans="1:38" ht="90.75" hidden="1" thickBot="1" x14ac:dyDescent="0.3">
      <c r="A82" s="198" t="s">
        <v>111</v>
      </c>
      <c r="B82" s="113" t="s">
        <v>101</v>
      </c>
      <c r="C82" s="114" t="s">
        <v>126</v>
      </c>
      <c r="D82" s="113" t="s">
        <v>211</v>
      </c>
      <c r="E82" s="286" t="s">
        <v>79</v>
      </c>
      <c r="F82" s="113" t="s">
        <v>175</v>
      </c>
      <c r="G82" s="113" t="s">
        <v>180</v>
      </c>
      <c r="H82" s="113" t="s">
        <v>184</v>
      </c>
      <c r="I82" s="114" t="s">
        <v>183</v>
      </c>
      <c r="J82" s="116">
        <v>0.84</v>
      </c>
      <c r="K82" s="207">
        <v>0.72</v>
      </c>
      <c r="L82" s="92">
        <v>0.78</v>
      </c>
      <c r="M82" s="58">
        <v>0.77249999999999996</v>
      </c>
      <c r="N82" s="124">
        <f>+M82/L82</f>
        <v>0.99038461538461531</v>
      </c>
      <c r="O82" s="183">
        <v>0.79</v>
      </c>
      <c r="P82" s="234">
        <v>0.79</v>
      </c>
      <c r="Q82" s="119">
        <v>0.82909999999999995</v>
      </c>
      <c r="R82" s="120">
        <v>0.82909999999999995</v>
      </c>
      <c r="S82" s="117">
        <f t="shared" si="11"/>
        <v>1.0494936708860758</v>
      </c>
      <c r="T82" s="124">
        <f t="shared" si="22"/>
        <v>1.0494936708860758</v>
      </c>
      <c r="U82" s="128">
        <v>0.81</v>
      </c>
      <c r="V82" s="118">
        <v>0.81</v>
      </c>
      <c r="W82" s="121" t="s">
        <v>278</v>
      </c>
      <c r="X82" s="121" t="s">
        <v>278</v>
      </c>
      <c r="Y82" s="117" t="e">
        <f t="shared" si="20"/>
        <v>#VALUE!</v>
      </c>
      <c r="Z82" s="117" t="e">
        <f t="shared" si="23"/>
        <v>#VALUE!</v>
      </c>
      <c r="AA82" s="124" t="s">
        <v>146</v>
      </c>
      <c r="AB82" s="268">
        <v>0.84</v>
      </c>
      <c r="AC82" s="164">
        <f>+J82</f>
        <v>0.84</v>
      </c>
      <c r="AD82" s="178"/>
      <c r="AE82" s="178"/>
      <c r="AF82" s="178"/>
      <c r="AG82" s="178"/>
      <c r="AH82" s="178" t="e">
        <f t="shared" si="26"/>
        <v>#VALUE!</v>
      </c>
      <c r="AI82" s="77" t="s">
        <v>154</v>
      </c>
      <c r="AJ82" s="275"/>
      <c r="AK82" s="247"/>
      <c r="AL82" s="68"/>
    </row>
    <row r="83" spans="1:38" ht="139.5" customHeight="1" x14ac:dyDescent="0.25">
      <c r="K83" s="292"/>
      <c r="L83" s="156"/>
      <c r="M83" s="156"/>
      <c r="V83" s="293"/>
    </row>
    <row r="84" spans="1:38" x14ac:dyDescent="0.25">
      <c r="R84" s="154"/>
    </row>
    <row r="85" spans="1:38" x14ac:dyDescent="0.25">
      <c r="N85" s="156"/>
      <c r="R85" s="155"/>
      <c r="T85" s="154"/>
    </row>
    <row r="86" spans="1:38" x14ac:dyDescent="0.25">
      <c r="N86" s="155"/>
      <c r="R86" s="156"/>
    </row>
    <row r="87" spans="1:38" x14ac:dyDescent="0.25">
      <c r="N87" s="156"/>
      <c r="S87" s="290"/>
      <c r="AI87" s="155"/>
    </row>
  </sheetData>
  <autoFilter ref="A4:AL82" xr:uid="{00000000-0009-0000-0000-000005000000}">
    <filterColumn colId="4">
      <filters>
        <filter val="Estudiantes beneficiados con créditos condonables para programas profesionales de licenciatura en Instituciones Educativas Certificadas con alta calidad"/>
        <filter val="Estudiantes beneficiados con nuevos créditos condonables"/>
      </filters>
    </filterColumn>
  </autoFilter>
  <mergeCells count="3">
    <mergeCell ref="L3:N3"/>
    <mergeCell ref="O3:T3"/>
    <mergeCell ref="U3:AA3"/>
  </mergeCells>
  <conditionalFormatting sqref="R61">
    <cfRule type="cellIs" dxfId="72" priority="73" operator="lessThan">
      <formula>#REF!</formula>
    </cfRule>
  </conditionalFormatting>
  <conditionalFormatting sqref="M10 P14 P17:P18 P20:P21 P23 P25 P27:P30 P38 P42 P44 P46:P47 P74 P78 P80 O10:P10">
    <cfRule type="cellIs" dxfId="71" priority="104" operator="lessThan">
      <formula>#REF!</formula>
    </cfRule>
    <cfRule type="cellIs" dxfId="70" priority="147" operator="lessThan">
      <formula>#REF!</formula>
    </cfRule>
    <cfRule type="cellIs" dxfId="69" priority="148" operator="lessThan">
      <formula>#REF!</formula>
    </cfRule>
  </conditionalFormatting>
  <conditionalFormatting sqref="M21">
    <cfRule type="cellIs" dxfId="68" priority="146" operator="lessThan">
      <formula>#REF!</formula>
    </cfRule>
  </conditionalFormatting>
  <conditionalFormatting sqref="M23">
    <cfRule type="cellIs" dxfId="67" priority="103" operator="lessThan">
      <formula>#REF!</formula>
    </cfRule>
    <cfRule type="cellIs" dxfId="66" priority="145" operator="lessThan">
      <formula>#REF!</formula>
    </cfRule>
  </conditionalFormatting>
  <conditionalFormatting sqref="M28">
    <cfRule type="cellIs" dxfId="65" priority="144" operator="lessThan">
      <formula>#REF!</formula>
    </cfRule>
  </conditionalFormatting>
  <conditionalFormatting sqref="M30">
    <cfRule type="cellIs" dxfId="64" priority="143" operator="lessThan">
      <formula>#REF!</formula>
    </cfRule>
  </conditionalFormatting>
  <conditionalFormatting sqref="M43">
    <cfRule type="cellIs" dxfId="63" priority="137" operator="lessThan">
      <formula>#REF!</formula>
    </cfRule>
  </conditionalFormatting>
  <conditionalFormatting sqref="M32">
    <cfRule type="cellIs" dxfId="62" priority="142" operator="lessThan">
      <formula>#REF!</formula>
    </cfRule>
  </conditionalFormatting>
  <conditionalFormatting sqref="M48">
    <cfRule type="cellIs" dxfId="61" priority="133" operator="lessThan">
      <formula>#REF!</formula>
    </cfRule>
  </conditionalFormatting>
  <conditionalFormatting sqref="M49">
    <cfRule type="cellIs" dxfId="60" priority="132" operator="lessThan">
      <formula>#REF!</formula>
    </cfRule>
  </conditionalFormatting>
  <conditionalFormatting sqref="M36">
    <cfRule type="cellIs" dxfId="59" priority="141" operator="lessThan">
      <formula>#REF!</formula>
    </cfRule>
  </conditionalFormatting>
  <conditionalFormatting sqref="M37">
    <cfRule type="cellIs" dxfId="58" priority="140" operator="lessThan">
      <formula>#REF!</formula>
    </cfRule>
  </conditionalFormatting>
  <conditionalFormatting sqref="M38">
    <cfRule type="cellIs" dxfId="57" priority="139" operator="lessThan">
      <formula>#REF!</formula>
    </cfRule>
  </conditionalFormatting>
  <conditionalFormatting sqref="M53">
    <cfRule type="cellIs" dxfId="56" priority="129" operator="lessThan">
      <formula>#REF!</formula>
    </cfRule>
  </conditionalFormatting>
  <conditionalFormatting sqref="M54">
    <cfRule type="cellIs" dxfId="55" priority="128" operator="lessThan">
      <formula>#REF!</formula>
    </cfRule>
  </conditionalFormatting>
  <conditionalFormatting sqref="M55">
    <cfRule type="cellIs" dxfId="54" priority="127" operator="lessThan">
      <formula>#REF!</formula>
    </cfRule>
  </conditionalFormatting>
  <conditionalFormatting sqref="M42">
    <cfRule type="cellIs" dxfId="53" priority="138" operator="lessThan">
      <formula>#REF!</formula>
    </cfRule>
  </conditionalFormatting>
  <conditionalFormatting sqref="M44">
    <cfRule type="cellIs" dxfId="52" priority="136" operator="lessThan">
      <formula>#REF!</formula>
    </cfRule>
  </conditionalFormatting>
  <conditionalFormatting sqref="M59">
    <cfRule type="cellIs" dxfId="51" priority="123" operator="lessThan">
      <formula>#REF!</formula>
    </cfRule>
  </conditionalFormatting>
  <conditionalFormatting sqref="M46">
    <cfRule type="cellIs" dxfId="50" priority="135" operator="lessThan">
      <formula>#REF!</formula>
    </cfRule>
  </conditionalFormatting>
  <conditionalFormatting sqref="M47">
    <cfRule type="cellIs" dxfId="49" priority="134" operator="lessThan">
      <formula>#REF!</formula>
    </cfRule>
  </conditionalFormatting>
  <conditionalFormatting sqref="M50">
    <cfRule type="cellIs" dxfId="48" priority="131" operator="lessThan">
      <formula>#REF!</formula>
    </cfRule>
  </conditionalFormatting>
  <conditionalFormatting sqref="M57">
    <cfRule type="cellIs" dxfId="47" priority="125" operator="lessThan">
      <formula>#REF!</formula>
    </cfRule>
  </conditionalFormatting>
  <conditionalFormatting sqref="M56">
    <cfRule type="cellIs" dxfId="46" priority="102" operator="lessThan">
      <formula>#REF!</formula>
    </cfRule>
    <cfRule type="cellIs" dxfId="45" priority="126" operator="lessThan">
      <formula>#REF!</formula>
    </cfRule>
  </conditionalFormatting>
  <conditionalFormatting sqref="M58">
    <cfRule type="cellIs" dxfId="44" priority="124" operator="lessThan">
      <formula>#REF!</formula>
    </cfRule>
  </conditionalFormatting>
  <conditionalFormatting sqref="M60">
    <cfRule type="cellIs" dxfId="43" priority="122" operator="lessThan">
      <formula>#REF!</formula>
    </cfRule>
  </conditionalFormatting>
  <conditionalFormatting sqref="M61">
    <cfRule type="cellIs" dxfId="42" priority="121" operator="lessThan">
      <formula>#REF!</formula>
    </cfRule>
  </conditionalFormatting>
  <conditionalFormatting sqref="M62">
    <cfRule type="cellIs" dxfId="41" priority="120" operator="lessThan">
      <formula>#REF!</formula>
    </cfRule>
  </conditionalFormatting>
  <conditionalFormatting sqref="M63">
    <cfRule type="cellIs" dxfId="40" priority="119" operator="lessThan">
      <formula>#REF!</formula>
    </cfRule>
  </conditionalFormatting>
  <conditionalFormatting sqref="M64">
    <cfRule type="cellIs" dxfId="39" priority="118" operator="lessThan">
      <formula>#REF!</formula>
    </cfRule>
  </conditionalFormatting>
  <conditionalFormatting sqref="M65">
    <cfRule type="cellIs" dxfId="38" priority="117" operator="lessThan">
      <formula>#REF!</formula>
    </cfRule>
  </conditionalFormatting>
  <conditionalFormatting sqref="M66">
    <cfRule type="cellIs" dxfId="37" priority="116" operator="lessThan">
      <formula>#REF!</formula>
    </cfRule>
  </conditionalFormatting>
  <conditionalFormatting sqref="M67">
    <cfRule type="cellIs" dxfId="36" priority="115" operator="lessThan">
      <formula>#REF!</formula>
    </cfRule>
  </conditionalFormatting>
  <conditionalFormatting sqref="M68">
    <cfRule type="cellIs" dxfId="35" priority="114" operator="lessThan">
      <formula>#REF!</formula>
    </cfRule>
  </conditionalFormatting>
  <conditionalFormatting sqref="M69">
    <cfRule type="cellIs" dxfId="34" priority="113" operator="lessThan">
      <formula>#REF!</formula>
    </cfRule>
  </conditionalFormatting>
  <conditionalFormatting sqref="M74">
    <cfRule type="cellIs" dxfId="33" priority="109" operator="lessThan">
      <formula>#REF!</formula>
    </cfRule>
  </conditionalFormatting>
  <conditionalFormatting sqref="M75">
    <cfRule type="cellIs" dxfId="32" priority="107" operator="lessThan">
      <formula>#REF!</formula>
    </cfRule>
    <cfRule type="cellIs" dxfId="31" priority="108" operator="lessThan">
      <formula>#REF!</formula>
    </cfRule>
  </conditionalFormatting>
  <conditionalFormatting sqref="M76">
    <cfRule type="cellIs" dxfId="30" priority="106" operator="lessThan">
      <formula>#REF!</formula>
    </cfRule>
  </conditionalFormatting>
  <conditionalFormatting sqref="M81">
    <cfRule type="cellIs" dxfId="29" priority="105" operator="lessThan">
      <formula>#REF!</formula>
    </cfRule>
  </conditionalFormatting>
  <conditionalFormatting sqref="R56">
    <cfRule type="cellIs" dxfId="28" priority="101" operator="greaterThan">
      <formula>"S58"</formula>
    </cfRule>
  </conditionalFormatting>
  <conditionalFormatting sqref="R59">
    <cfRule type="cellIs" dxfId="27" priority="100" operator="lessThan">
      <formula>#REF!</formula>
    </cfRule>
  </conditionalFormatting>
  <conditionalFormatting sqref="R63">
    <cfRule type="cellIs" dxfId="26" priority="99" operator="lessThan">
      <formula>#REF!</formula>
    </cfRule>
  </conditionalFormatting>
  <conditionalFormatting sqref="R62">
    <cfRule type="cellIs" dxfId="25" priority="98" operator="lessThan">
      <formula>#REF!</formula>
    </cfRule>
  </conditionalFormatting>
  <conditionalFormatting sqref="R64">
    <cfRule type="cellIs" dxfId="24" priority="97" operator="greaterThan">
      <formula>#REF!</formula>
    </cfRule>
  </conditionalFormatting>
  <conditionalFormatting sqref="R65">
    <cfRule type="cellIs" dxfId="23" priority="96" operator="lessThan">
      <formula>#REF!</formula>
    </cfRule>
  </conditionalFormatting>
  <conditionalFormatting sqref="R66">
    <cfRule type="cellIs" dxfId="22" priority="95" operator="lessThan">
      <formula>#REF!</formula>
    </cfRule>
  </conditionalFormatting>
  <conditionalFormatting sqref="R67">
    <cfRule type="cellIs" dxfId="21" priority="94" operator="lessThan">
      <formula>#REF!</formula>
    </cfRule>
  </conditionalFormatting>
  <conditionalFormatting sqref="R68">
    <cfRule type="cellIs" dxfId="20" priority="93" operator="lessThan">
      <formula>#REF!</formula>
    </cfRule>
  </conditionalFormatting>
  <conditionalFormatting sqref="R69">
    <cfRule type="cellIs" dxfId="19" priority="92" operator="greaterThan">
      <formula>#REF!</formula>
    </cfRule>
  </conditionalFormatting>
  <conditionalFormatting sqref="R70">
    <cfRule type="cellIs" dxfId="18" priority="91" operator="lessThan">
      <formula>#REF!</formula>
    </cfRule>
  </conditionalFormatting>
  <conditionalFormatting sqref="Q73:R73">
    <cfRule type="cellIs" dxfId="17" priority="90" operator="lessThan">
      <formula>#REF!</formula>
    </cfRule>
  </conditionalFormatting>
  <conditionalFormatting sqref="M7 P7">
    <cfRule type="cellIs" dxfId="16" priority="88" operator="lessThan">
      <formula>#REF!</formula>
    </cfRule>
    <cfRule type="cellIs" dxfId="15" priority="89" operator="lessThan">
      <formula>#REF!</formula>
    </cfRule>
  </conditionalFormatting>
  <conditionalFormatting sqref="R74">
    <cfRule type="cellIs" dxfId="14" priority="85" operator="lessThan">
      <formula>#REF!</formula>
    </cfRule>
  </conditionalFormatting>
  <conditionalFormatting sqref="Q48:R48 Q49:Q70">
    <cfRule type="cellIs" dxfId="13" priority="84" operator="lessThan">
      <formula>#REF!</formula>
    </cfRule>
  </conditionalFormatting>
  <conditionalFormatting sqref="R49">
    <cfRule type="cellIs" dxfId="12" priority="83" operator="lessThan">
      <formula>#REF!</formula>
    </cfRule>
  </conditionalFormatting>
  <conditionalFormatting sqref="W49">
    <cfRule type="cellIs" dxfId="11" priority="82" operator="lessThan">
      <formula>#REF!</formula>
    </cfRule>
  </conditionalFormatting>
  <conditionalFormatting sqref="R50">
    <cfRule type="cellIs" dxfId="10" priority="81" operator="lessThan">
      <formula>#REF!</formula>
    </cfRule>
  </conditionalFormatting>
  <conditionalFormatting sqref="J52">
    <cfRule type="cellIs" dxfId="9" priority="79" operator="lessThan">
      <formula>#REF!</formula>
    </cfRule>
  </conditionalFormatting>
  <conditionalFormatting sqref="M52">
    <cfRule type="cellIs" dxfId="8" priority="78" operator="lessThan">
      <formula>#REF!</formula>
    </cfRule>
  </conditionalFormatting>
  <conditionalFormatting sqref="R54">
    <cfRule type="cellIs" dxfId="7" priority="77" operator="lessThan">
      <formula>#REF!</formula>
    </cfRule>
  </conditionalFormatting>
  <conditionalFormatting sqref="R57">
    <cfRule type="cellIs" dxfId="6" priority="76" operator="lessThan">
      <formula>#REF!</formula>
    </cfRule>
  </conditionalFormatting>
  <conditionalFormatting sqref="R58">
    <cfRule type="cellIs" dxfId="5" priority="75" operator="lessThan">
      <formula>#REF!</formula>
    </cfRule>
  </conditionalFormatting>
  <conditionalFormatting sqref="R60">
    <cfRule type="cellIs" dxfId="4" priority="74" operator="lessThan">
      <formula>#REF!</formula>
    </cfRule>
  </conditionalFormatting>
  <conditionalFormatting sqref="W74">
    <cfRule type="cellIs" dxfId="3" priority="72" operator="lessThan">
      <formula>#REF!</formula>
    </cfRule>
  </conditionalFormatting>
  <conditionalFormatting sqref="S5:T82">
    <cfRule type="iconSet" priority="17">
      <iconSet iconSet="3TrafficLights2">
        <cfvo type="percent" val="0"/>
        <cfvo type="num" val="0.98"/>
        <cfvo type="num" val="1"/>
      </iconSet>
    </cfRule>
  </conditionalFormatting>
  <conditionalFormatting sqref="Y5:AA7 Y61:AA82 Y9:AA12 Z8:AA8 Y14:AA28 Y30:AA37 Y39:AA55 Y57:AA59 Z13:AA13 Z29:AA29 Z38:AA38 Z56:AA56 Z60:AA60">
    <cfRule type="iconSet" priority="14">
      <iconSet iconSet="3TrafficLights2">
        <cfvo type="percent" val="0"/>
        <cfvo type="num" val="0.98"/>
        <cfvo type="num" val="1"/>
      </iconSet>
    </cfRule>
  </conditionalFormatting>
  <conditionalFormatting sqref="X49">
    <cfRule type="cellIs" dxfId="2" priority="13" operator="lessThan">
      <formula>#REF!</formula>
    </cfRule>
  </conditionalFormatting>
  <conditionalFormatting sqref="N5:N82">
    <cfRule type="iconSet" priority="149">
      <iconSet iconSet="3TrafficLights2">
        <cfvo type="percent" val="0"/>
        <cfvo type="num" val="0.98"/>
        <cfvo type="num" val="1"/>
      </iconSet>
    </cfRule>
  </conditionalFormatting>
  <conditionalFormatting sqref="AC52:AG52">
    <cfRule type="cellIs" dxfId="1" priority="12" operator="lessThan">
      <formula>#REF!</formula>
    </cfRule>
  </conditionalFormatting>
  <conditionalFormatting sqref="AH52:AK52">
    <cfRule type="cellIs" dxfId="0" priority="11" operator="lessThan">
      <formula>#REF!</formula>
    </cfRule>
  </conditionalFormatting>
  <conditionalFormatting sqref="AF47:AG47">
    <cfRule type="iconSet" priority="7">
      <iconSet iconSet="3TrafficLights2">
        <cfvo type="percent" val="0"/>
        <cfvo type="num" val="0.98"/>
        <cfvo type="num" val="1"/>
      </iconSet>
    </cfRule>
  </conditionalFormatting>
  <conditionalFormatting sqref="AF35:AG35 AF30:AG30">
    <cfRule type="iconSet" priority="6">
      <iconSet iconSet="3TrafficLights2">
        <cfvo type="percent" val="0"/>
        <cfvo type="num" val="0.98"/>
        <cfvo type="num" val="1"/>
      </iconSet>
    </cfRule>
  </conditionalFormatting>
  <conditionalFormatting sqref="AF61:AG61">
    <cfRule type="iconSet" priority="5">
      <iconSet iconSet="3TrafficLights2">
        <cfvo type="percent" val="0"/>
        <cfvo type="num" val="0.98"/>
        <cfvo type="num" val="1"/>
      </iconSet>
    </cfRule>
  </conditionalFormatting>
  <conditionalFormatting sqref="AF68:AG68">
    <cfRule type="iconSet" priority="4">
      <iconSet iconSet="3TrafficLights2">
        <cfvo type="percent" val="0"/>
        <cfvo type="num" val="0.98"/>
        <cfvo type="num" val="1"/>
      </iconSet>
    </cfRule>
  </conditionalFormatting>
  <conditionalFormatting sqref="Y8 Y13 Y29 Y38 Y56 Y60">
    <cfRule type="iconSet" priority="3">
      <iconSet iconSet="3TrafficLights2">
        <cfvo type="percent" val="0"/>
        <cfvo type="num" val="0.98"/>
        <cfvo type="num" val="1"/>
      </iconSet>
    </cfRule>
  </conditionalFormatting>
  <conditionalFormatting sqref="AF8 AF13 AF29 AF38 AF56 AF60">
    <cfRule type="iconSet" priority="2">
      <iconSet iconSet="3TrafficLights2">
        <cfvo type="percent" val="0"/>
        <cfvo type="num" val="0.98"/>
        <cfvo type="num" val="1"/>
      </iconSet>
    </cfRule>
  </conditionalFormatting>
  <conditionalFormatting sqref="AG8 AG13 AG29 AG38 AG56 AG60">
    <cfRule type="iconSet" priority="1">
      <iconSet iconSet="3TrafficLights2">
        <cfvo type="percent" val="0"/>
        <cfvo type="num" val="0.98"/>
        <cfvo type="num" val="1"/>
      </iconSet>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09"/>
  <sheetViews>
    <sheetView tabSelected="1" view="pageBreakPreview" zoomScaleNormal="100" zoomScaleSheetLayoutView="100" workbookViewId="0">
      <selection activeCell="I19" sqref="I19"/>
    </sheetView>
  </sheetViews>
  <sheetFormatPr baseColWidth="10" defaultRowHeight="24" customHeight="1" x14ac:dyDescent="0.25"/>
  <cols>
    <col min="1" max="1" width="3" style="483" customWidth="1"/>
    <col min="2" max="2" width="4.28515625" style="376" customWidth="1"/>
    <col min="3" max="3" width="16.140625" style="376" customWidth="1"/>
    <col min="4" max="4" width="16.5703125" style="376" customWidth="1"/>
    <col min="5" max="5" width="50.7109375" style="475" customWidth="1"/>
    <col min="6" max="6" width="11.42578125" style="475" customWidth="1"/>
    <col min="7" max="7" width="11.85546875" style="476" customWidth="1"/>
    <col min="8" max="8" width="13.7109375" style="476" customWidth="1"/>
    <col min="9" max="9" width="10.7109375" style="476" customWidth="1"/>
    <col min="10" max="10" width="14.85546875" style="476" customWidth="1"/>
    <col min="11" max="11" width="14.7109375" style="483" customWidth="1"/>
    <col min="12" max="12" width="18.7109375" style="477" customWidth="1"/>
    <col min="13" max="13" width="34.42578125" style="376" customWidth="1"/>
    <col min="14" max="14" width="15.7109375" style="377" hidden="1" customWidth="1"/>
    <col min="15" max="15" width="13.5703125" style="377" customWidth="1"/>
    <col min="16" max="16384" width="11.42578125" style="376"/>
  </cols>
  <sheetData>
    <row r="1" spans="2:15" ht="15" x14ac:dyDescent="0.25"/>
    <row r="2" spans="2:15" ht="15" x14ac:dyDescent="0.25">
      <c r="G2" s="376"/>
    </row>
    <row r="3" spans="2:15" ht="15" x14ac:dyDescent="0.25">
      <c r="G3" s="376"/>
    </row>
    <row r="4" spans="2:15" ht="23.25" x14ac:dyDescent="0.35">
      <c r="C4" s="809" t="s">
        <v>330</v>
      </c>
      <c r="D4" s="809"/>
      <c r="E4" s="809"/>
      <c r="F4" s="809"/>
      <c r="G4" s="809"/>
      <c r="H4" s="809"/>
      <c r="I4" s="809"/>
      <c r="J4" s="809"/>
      <c r="K4" s="809"/>
      <c r="L4" s="809"/>
      <c r="M4" s="809"/>
      <c r="N4" s="809"/>
      <c r="O4" s="809"/>
    </row>
    <row r="5" spans="2:15" ht="23.25" x14ac:dyDescent="0.35">
      <c r="C5" s="484"/>
      <c r="D5" s="484"/>
      <c r="E5" s="484"/>
      <c r="F5" s="484"/>
      <c r="G5" s="484"/>
      <c r="H5" s="484"/>
      <c r="I5" s="484"/>
      <c r="J5" s="785"/>
      <c r="K5" s="484"/>
      <c r="L5" s="484"/>
      <c r="M5" s="484"/>
    </row>
    <row r="6" spans="2:15" ht="21" x14ac:dyDescent="0.25">
      <c r="C6" s="810" t="s">
        <v>323</v>
      </c>
      <c r="D6" s="810"/>
      <c r="E6" s="810"/>
      <c r="F6" s="810"/>
      <c r="G6" s="810"/>
      <c r="H6" s="810"/>
      <c r="I6" s="810"/>
      <c r="J6" s="810"/>
      <c r="K6" s="810"/>
      <c r="L6" s="810"/>
      <c r="M6" s="810"/>
      <c r="N6" s="810"/>
      <c r="O6" s="810"/>
    </row>
    <row r="7" spans="2:15" ht="15" x14ac:dyDescent="0.25">
      <c r="G7" s="376"/>
    </row>
    <row r="8" spans="2:15" ht="21.75" thickBot="1" x14ac:dyDescent="0.3">
      <c r="B8" s="810" t="s">
        <v>352</v>
      </c>
      <c r="C8" s="810"/>
      <c r="D8" s="810"/>
      <c r="E8" s="810"/>
      <c r="F8" s="810"/>
      <c r="G8" s="810"/>
      <c r="H8" s="810"/>
      <c r="I8" s="810"/>
      <c r="J8" s="810"/>
      <c r="K8" s="810"/>
      <c r="L8" s="810"/>
      <c r="M8" s="810"/>
      <c r="N8" s="810"/>
      <c r="O8" s="810"/>
    </row>
    <row r="9" spans="2:15" ht="16.5" thickBot="1" x14ac:dyDescent="0.3">
      <c r="E9" s="376"/>
      <c r="F9" s="376"/>
      <c r="G9" s="376"/>
      <c r="L9" s="498" t="s">
        <v>334</v>
      </c>
      <c r="M9" s="490" t="s">
        <v>335</v>
      </c>
      <c r="N9" s="499" t="s">
        <v>336</v>
      </c>
    </row>
    <row r="10" spans="2:15" ht="30" x14ac:dyDescent="0.25">
      <c r="E10" s="376"/>
      <c r="F10" s="376"/>
      <c r="G10" s="376"/>
      <c r="L10" s="500" t="s">
        <v>337</v>
      </c>
      <c r="M10" s="501">
        <v>1</v>
      </c>
      <c r="N10" s="502" t="s">
        <v>338</v>
      </c>
    </row>
    <row r="11" spans="2:15" ht="15.75" x14ac:dyDescent="0.25">
      <c r="E11" s="376"/>
      <c r="F11" s="376"/>
      <c r="G11" s="376"/>
      <c r="L11" s="503" t="s">
        <v>339</v>
      </c>
      <c r="M11" s="504">
        <v>0.89</v>
      </c>
      <c r="N11" s="505" t="s">
        <v>340</v>
      </c>
    </row>
    <row r="12" spans="2:15" ht="15.75" x14ac:dyDescent="0.25">
      <c r="E12" s="376"/>
      <c r="F12" s="376"/>
      <c r="G12" s="376"/>
      <c r="L12" s="503" t="s">
        <v>341</v>
      </c>
      <c r="M12" s="504">
        <v>0.79</v>
      </c>
      <c r="N12" s="505" t="s">
        <v>342</v>
      </c>
    </row>
    <row r="13" spans="2:15" ht="30.75" thickBot="1" x14ac:dyDescent="0.3">
      <c r="E13" s="376"/>
      <c r="F13" s="376"/>
      <c r="G13" s="376"/>
      <c r="L13" s="506" t="s">
        <v>343</v>
      </c>
      <c r="M13" s="507">
        <v>0.69</v>
      </c>
      <c r="N13" s="508" t="s">
        <v>344</v>
      </c>
    </row>
    <row r="14" spans="2:15" ht="32.25" thickBot="1" x14ac:dyDescent="0.3">
      <c r="C14" s="486" t="s">
        <v>331</v>
      </c>
      <c r="D14" s="757" t="s">
        <v>440</v>
      </c>
      <c r="E14" s="545"/>
      <c r="F14" s="376"/>
      <c r="I14" s="483"/>
      <c r="L14" s="509"/>
      <c r="M14" s="510"/>
      <c r="N14" s="510"/>
      <c r="O14" s="510"/>
    </row>
    <row r="15" spans="2:15" ht="15.75" thickBot="1" x14ac:dyDescent="0.3">
      <c r="E15" s="376"/>
      <c r="F15" s="376"/>
      <c r="I15" s="483"/>
      <c r="L15" s="376"/>
      <c r="M15" s="377"/>
      <c r="O15" s="513"/>
    </row>
    <row r="16" spans="2:15" ht="16.5" thickBot="1" x14ac:dyDescent="0.3">
      <c r="C16" s="511" t="s">
        <v>320</v>
      </c>
      <c r="D16" s="485" t="s">
        <v>101</v>
      </c>
      <c r="E16" s="546"/>
      <c r="F16" s="376"/>
      <c r="I16" s="483"/>
      <c r="K16" s="782"/>
      <c r="L16" s="376"/>
      <c r="M16" s="377"/>
      <c r="O16" s="513"/>
    </row>
    <row r="17" spans="1:15" ht="24" hidden="1" customHeight="1" thickBot="1" x14ac:dyDescent="0.3">
      <c r="K17" s="806" t="s">
        <v>356</v>
      </c>
      <c r="L17" s="807"/>
      <c r="M17" s="807"/>
      <c r="N17" s="807"/>
      <c r="O17" s="808"/>
    </row>
    <row r="18" spans="1:15" ht="52.5" customHeight="1" thickBot="1" x14ac:dyDescent="0.3">
      <c r="C18" s="674" t="s">
        <v>322</v>
      </c>
      <c r="D18" s="675" t="s">
        <v>357</v>
      </c>
      <c r="E18" s="676" t="s">
        <v>317</v>
      </c>
      <c r="F18" s="675" t="s">
        <v>318</v>
      </c>
      <c r="G18" s="677" t="s">
        <v>355</v>
      </c>
      <c r="H18" s="677" t="s">
        <v>319</v>
      </c>
      <c r="I18" s="678" t="s">
        <v>354</v>
      </c>
      <c r="J18" s="679" t="s">
        <v>324</v>
      </c>
      <c r="K18" s="487" t="s">
        <v>321</v>
      </c>
      <c r="L18" s="489" t="s">
        <v>325</v>
      </c>
      <c r="M18" s="488" t="s">
        <v>326</v>
      </c>
      <c r="N18" s="488" t="s">
        <v>346</v>
      </c>
      <c r="O18" s="490" t="s">
        <v>353</v>
      </c>
    </row>
    <row r="19" spans="1:15" ht="57.75" customHeight="1" x14ac:dyDescent="0.25">
      <c r="A19" s="483">
        <v>1</v>
      </c>
      <c r="C19" s="815" t="s">
        <v>127</v>
      </c>
      <c r="D19" s="767">
        <v>4452</v>
      </c>
      <c r="E19" s="768" t="s">
        <v>157</v>
      </c>
      <c r="F19" s="767" t="str">
        <f>+VLOOKUP(E19,'Base Indicadores 1'!$B$7:$AM$85,10,0)</f>
        <v>Porcentaje</v>
      </c>
      <c r="G19" s="767" t="str">
        <f>+VLOOKUP(E19,'Base Indicadores 1'!$B$7:$AL$85,8,0)</f>
        <v>Anual</v>
      </c>
      <c r="H19" s="769" t="str">
        <f>+VLOOKUP(E19,'Base Indicadores 1'!$B$7:$AL$85,9,0)</f>
        <v>Capacidad</v>
      </c>
      <c r="I19" s="762">
        <f>+VLOOKUP(E19,'Base Indicadores 1'!$B$7:$AM$85,12,0)</f>
        <v>0.29399999999999998</v>
      </c>
      <c r="J19" s="761">
        <v>0.38</v>
      </c>
      <c r="K19" s="762">
        <f>+VLOOKUP(E19,'Base Indicadores 1'!$B$7:$AM$85,32,0)</f>
        <v>0.43480000000000002</v>
      </c>
      <c r="L19" s="763">
        <f>+VLOOKUP(E19,'Base Indicadores 1'!$B$7:$AM$85,35,0)</f>
        <v>1.6372093023255814</v>
      </c>
      <c r="M19" s="770" t="str">
        <f>VLOOKUP(E19,'Base Indicadores 1'!$B$7:$AM$85,36,0)</f>
        <v>Dato a diciembre 2017
Dato a diciembre 2018 sale en junio 19</v>
      </c>
      <c r="N19" s="767" t="s">
        <v>347</v>
      </c>
      <c r="O19" s="771">
        <f>+IF(L19&gt;100%,100%,L19)</f>
        <v>1</v>
      </c>
    </row>
    <row r="20" spans="1:15" ht="36.75" customHeight="1" x14ac:dyDescent="0.25">
      <c r="A20" s="483">
        <v>2</v>
      </c>
      <c r="C20" s="814"/>
      <c r="D20" s="756">
        <v>5162</v>
      </c>
      <c r="E20" s="680" t="s">
        <v>43</v>
      </c>
      <c r="F20" s="756" t="str">
        <f>+VLOOKUP(E20,'Base Indicadores 1'!$B$7:$AM$85,10,0)</f>
        <v>Colegios oficiales</v>
      </c>
      <c r="G20" s="756" t="str">
        <f>+VLOOKUP(E20,'Base Indicadores 1'!$B$7:$AL$85,8,0)</f>
        <v>Anual</v>
      </c>
      <c r="H20" s="681" t="str">
        <f>+VLOOKUP(E20,'Base Indicadores 1'!$B$7:$AL$85,9,0)</f>
        <v>Capacidad</v>
      </c>
      <c r="I20" s="686">
        <f>+VLOOKUP(E20,'Base Indicadores 1'!$B$7:$AM$85,12,0)</f>
        <v>2012</v>
      </c>
      <c r="J20" s="694">
        <f>+VLOOKUP(E20,'Base Indicadores 1'!$B$7:$AM$85,11,0)</f>
        <v>2720</v>
      </c>
      <c r="K20" s="686">
        <f>+VLOOKUP(E20,'Base Indicadores 1'!$B$7:$AM$85,32,0)</f>
        <v>2808</v>
      </c>
      <c r="L20" s="683">
        <f>+VLOOKUP(E20,'Base Indicadores 1'!$B$7:$AM$85,35,0)</f>
        <v>1.1242937853107344</v>
      </c>
      <c r="M20" s="684" t="str">
        <f>VLOOKUP(E20,'Base Indicadores 1'!$B$7:$AM$85,36,0)</f>
        <v>Dato a diciembre 2017
El dato a 2018 sale en junio 19</v>
      </c>
      <c r="N20" s="756" t="s">
        <v>347</v>
      </c>
      <c r="O20" s="772">
        <f t="shared" ref="O20:O72" si="0">+IF(L20&gt;100%,100%,L20)</f>
        <v>1</v>
      </c>
    </row>
    <row r="21" spans="1:15" ht="15" x14ac:dyDescent="0.25">
      <c r="A21" s="483">
        <v>3</v>
      </c>
      <c r="C21" s="814"/>
      <c r="D21" s="756">
        <v>5160</v>
      </c>
      <c r="E21" s="680" t="s">
        <v>42</v>
      </c>
      <c r="F21" s="756" t="str">
        <f>+VLOOKUP(E21,'Base Indicadores 1'!$B$7:$AM$85,10,0)</f>
        <v>Índice</v>
      </c>
      <c r="G21" s="756" t="str">
        <f>+VLOOKUP(E21,'Base Indicadores 1'!$B$7:$AL$85,8,0)</f>
        <v>Anual</v>
      </c>
      <c r="H21" s="681" t="str">
        <f>+VLOOKUP(E21,'Base Indicadores 1'!$B$7:$AL$85,9,0)</f>
        <v>Capacidad</v>
      </c>
      <c r="I21" s="682">
        <f>+VLOOKUP(E21,'Base Indicadores 1'!$B$7:$AM$85,12,0)</f>
        <v>5.0700000000000002E-2</v>
      </c>
      <c r="J21" s="685">
        <f>+VLOOKUP(E21,'Base Indicadores 1'!$B$7:$AM$85,11,0)</f>
        <v>5.6090000000000001E-2</v>
      </c>
      <c r="K21" s="682">
        <f>+VLOOKUP(E21,'Base Indicadores 1'!$B$7:$AM$85,32,0)</f>
        <v>5.67E-2</v>
      </c>
      <c r="L21" s="683">
        <f>+VLOOKUP(E21,'Base Indicadores 1'!$B$7:$AM$85,35,0)</f>
        <v>1.1131725417439702</v>
      </c>
      <c r="M21" s="684" t="str">
        <f>VLOOKUP(E21,'Base Indicadores 1'!$B$7:$AM$85,36,0)</f>
        <v>Dato a diciembre 2018</v>
      </c>
      <c r="N21" s="756" t="s">
        <v>347</v>
      </c>
      <c r="O21" s="772">
        <f t="shared" si="0"/>
        <v>1</v>
      </c>
    </row>
    <row r="22" spans="1:15" ht="30" x14ac:dyDescent="0.25">
      <c r="A22" s="483">
        <v>4</v>
      </c>
      <c r="C22" s="814"/>
      <c r="D22" s="756">
        <v>4495</v>
      </c>
      <c r="E22" s="680" t="s">
        <v>29</v>
      </c>
      <c r="F22" s="756" t="str">
        <f>+VLOOKUP(E22,'Base Indicadores 1'!$B$7:$AM$85,10,0)</f>
        <v>Porcentaje</v>
      </c>
      <c r="G22" s="756" t="str">
        <f>+VLOOKUP(E22,'Base Indicadores 1'!$B$7:$AL$85,8,0)</f>
        <v>Semestral</v>
      </c>
      <c r="H22" s="681" t="str">
        <f>+VLOOKUP(E22,'Base Indicadores 1'!$B$7:$AL$85,9,0)</f>
        <v>Flujo</v>
      </c>
      <c r="I22" s="682">
        <f>+VLOOKUP(E22,'Base Indicadores 1'!$B$7:$AM$85,12,0)</f>
        <v>0.33300000000000002</v>
      </c>
      <c r="J22" s="685">
        <f>+VLOOKUP(E22,'Base Indicadores 1'!$B$7:$AM$85,11,0)</f>
        <v>0.45</v>
      </c>
      <c r="K22" s="682">
        <f>+VLOOKUP(E22,'Base Indicadores 1'!$B$7:$AM$85,32,0)</f>
        <v>0.45400000000000001</v>
      </c>
      <c r="L22" s="683">
        <f>+VLOOKUP(E22,'Base Indicadores 1'!$B$7:$AM$85,35,0)</f>
        <v>1.0088888888888889</v>
      </c>
      <c r="M22" s="684" t="str">
        <f>VLOOKUP(E22,'Base Indicadores 1'!$B$7:$AM$85,36,0)</f>
        <v>Dato a diciembre 2017</v>
      </c>
      <c r="N22" s="756"/>
      <c r="O22" s="772">
        <f t="shared" si="0"/>
        <v>1</v>
      </c>
    </row>
    <row r="23" spans="1:15" ht="30" customHeight="1" x14ac:dyDescent="0.25">
      <c r="A23" s="483">
        <v>5</v>
      </c>
      <c r="C23" s="814"/>
      <c r="D23" s="756">
        <v>4468</v>
      </c>
      <c r="E23" s="680" t="s">
        <v>39</v>
      </c>
      <c r="F23" s="756" t="str">
        <f>+VLOOKUP(E23,'Base Indicadores 1'!$B$7:$AM$85,10,0)</f>
        <v>Docentes</v>
      </c>
      <c r="G23" s="756" t="str">
        <f>+VLOOKUP(E23,'Base Indicadores 1'!$B$7:$AL$85,8,0)</f>
        <v>Anual</v>
      </c>
      <c r="H23" s="681" t="str">
        <f>+VLOOKUP(E23,'Base Indicadores 1'!$B$7:$AL$85,9,0)</f>
        <v>Acumulado</v>
      </c>
      <c r="I23" s="686">
        <f>+VLOOKUP(E23,'Base Indicadores 1'!$B$7:$AM$85,12,0)</f>
        <v>5703</v>
      </c>
      <c r="J23" s="694">
        <f>+VLOOKUP(E23,'Base Indicadores 1'!$B$7:$AM$85,11,0)</f>
        <v>8000</v>
      </c>
      <c r="K23" s="686">
        <f>+VLOOKUP(E23,'Base Indicadores 1'!$B$7:$AM$85,32,0)</f>
        <v>9246</v>
      </c>
      <c r="L23" s="683">
        <f>+VLOOKUP(E23,'Base Indicadores 1'!$B$7:$AM$85,35,0)</f>
        <v>1.1557500000000001</v>
      </c>
      <c r="M23" s="684" t="str">
        <f>VLOOKUP(E23,'Base Indicadores 1'!$B$7:$AM$85,36,0)</f>
        <v>Dato a diciembre 2018</v>
      </c>
      <c r="N23" s="756"/>
      <c r="O23" s="772">
        <f t="shared" si="0"/>
        <v>1</v>
      </c>
    </row>
    <row r="24" spans="1:15" ht="45" x14ac:dyDescent="0.25">
      <c r="A24" s="483">
        <v>6</v>
      </c>
      <c r="C24" s="814"/>
      <c r="D24" s="756">
        <v>5007</v>
      </c>
      <c r="E24" s="680" t="s">
        <v>40</v>
      </c>
      <c r="F24" s="756" t="str">
        <f>+VLOOKUP(E24,'Base Indicadores 1'!$B$7:$AM$85,10,0)</f>
        <v>Porcentaje</v>
      </c>
      <c r="G24" s="756" t="str">
        <f>+VLOOKUP(E24,'Base Indicadores 1'!$B$7:$AL$85,8,0)</f>
        <v>Anual</v>
      </c>
      <c r="H24" s="681" t="str">
        <f>+VLOOKUP(E24,'Base Indicadores 1'!$B$7:$AL$85,9,0)</f>
        <v>Flujo</v>
      </c>
      <c r="I24" s="682">
        <f>+VLOOKUP(E24,'Base Indicadores 1'!$B$7:$AM$85,12,0)</f>
        <v>9.4E-2</v>
      </c>
      <c r="J24" s="685">
        <f>+VLOOKUP(E24,'Base Indicadores 1'!$B$7:$AM$85,11,0)</f>
        <v>0.12</v>
      </c>
      <c r="K24" s="682">
        <f>+VLOOKUP(E24,'Base Indicadores 1'!$B$7:$AM$85,32,0)</f>
        <v>0.10050000000000001</v>
      </c>
      <c r="L24" s="683">
        <f>+VLOOKUP(E24,'Base Indicadores 1'!$B$7:$AM$85,35,0)</f>
        <v>0.83750000000000013</v>
      </c>
      <c r="M24" s="684" t="str">
        <f>VLOOKUP(E24,'Base Indicadores 1'!$B$7:$AM$85,36,0)</f>
        <v>Dato a diciembre 2016</v>
      </c>
      <c r="N24" s="756"/>
      <c r="O24" s="772">
        <f t="shared" si="0"/>
        <v>0.83750000000000013</v>
      </c>
    </row>
    <row r="25" spans="1:15" ht="83.25" customHeight="1" x14ac:dyDescent="0.25">
      <c r="A25" s="483">
        <v>7</v>
      </c>
      <c r="C25" s="814"/>
      <c r="D25" s="756">
        <v>4451</v>
      </c>
      <c r="E25" s="680" t="s">
        <v>36</v>
      </c>
      <c r="F25" s="756" t="str">
        <f>+VLOOKUP(E25,'Base Indicadores 1'!$B$7:$AM$85,10,0)</f>
        <v>Porcentaje</v>
      </c>
      <c r="G25" s="756" t="str">
        <f>+VLOOKUP(E25,'Base Indicadores 1'!$B$7:$AL$85,8,0)</f>
        <v>Anual</v>
      </c>
      <c r="H25" s="681" t="str">
        <f>+VLOOKUP(E25,'Base Indicadores 1'!$B$7:$AL$85,9,0)</f>
        <v>Flujo</v>
      </c>
      <c r="I25" s="682">
        <f>+VLOOKUP(E25,'Base Indicadores 1'!$B$7:$AM$85,12,0)</f>
        <v>0.53100000000000003</v>
      </c>
      <c r="J25" s="685">
        <f>+VLOOKUP(E25,'Base Indicadores 1'!$B$7:$AM$85,11,0)</f>
        <v>0.75</v>
      </c>
      <c r="K25" s="682">
        <f>+VLOOKUP(E25,'Base Indicadores 1'!$B$7:$AM$85,32,0)</f>
        <v>0.57650000000000001</v>
      </c>
      <c r="L25" s="683">
        <f>+VLOOKUP(E25,'Base Indicadores 1'!$B$7:$AM$85,35,0)</f>
        <v>0.76866666666666672</v>
      </c>
      <c r="M25" s="684" t="str">
        <f>VLOOKUP(E25,'Base Indicadores 1'!$B$7:$AM$85,36,0)</f>
        <v>Dato a diciembre 2016
Pendiente reporte 2017 y 2018</v>
      </c>
      <c r="N25" s="756" t="s">
        <v>348</v>
      </c>
      <c r="O25" s="772">
        <f t="shared" si="0"/>
        <v>0.76866666666666672</v>
      </c>
    </row>
    <row r="26" spans="1:15" ht="44.25" customHeight="1" x14ac:dyDescent="0.25">
      <c r="A26" s="483">
        <v>8</v>
      </c>
      <c r="C26" s="814"/>
      <c r="D26" s="756">
        <v>4467</v>
      </c>
      <c r="E26" s="680" t="s">
        <v>38</v>
      </c>
      <c r="F26" s="756" t="str">
        <f>+VLOOKUP(E26,'Base Indicadores 1'!$B$7:$AM$85,10,0)</f>
        <v>Porcentaje</v>
      </c>
      <c r="G26" s="756" t="str">
        <f>+VLOOKUP(E26,'Base Indicadores 1'!$B$7:$AL$85,8,0)</f>
        <v>Anual</v>
      </c>
      <c r="H26" s="681" t="str">
        <f>+VLOOKUP(E26,'Base Indicadores 1'!$B$7:$AL$85,9,0)</f>
        <v>Capacidad</v>
      </c>
      <c r="I26" s="682">
        <f>+VLOOKUP(E26,'Base Indicadores 1'!$B$7:$AM$85,12,0)</f>
        <v>0</v>
      </c>
      <c r="J26" s="685">
        <f>+VLOOKUP(E26,'Base Indicadores 1'!$B$7:$AM$85,11,0)</f>
        <v>0.22</v>
      </c>
      <c r="K26" s="682">
        <f>+VLOOKUP(E26,'Base Indicadores 1'!$B$7:$AM$85,32,0)</f>
        <v>0.18</v>
      </c>
      <c r="L26" s="683">
        <f>+VLOOKUP(E26,'Base Indicadores 1'!$B$7:$AM$85,35,0)</f>
        <v>0.81818181818181812</v>
      </c>
      <c r="M26" s="684" t="str">
        <f>VLOOKUP(E26,'Base Indicadores 1'!$B$7:$AM$85,36,0)</f>
        <v>Dato a diciembre 2018</v>
      </c>
      <c r="N26" s="756" t="s">
        <v>348</v>
      </c>
      <c r="O26" s="772">
        <f t="shared" si="0"/>
        <v>0.81818181818181812</v>
      </c>
    </row>
    <row r="27" spans="1:15" ht="75" customHeight="1" x14ac:dyDescent="0.25">
      <c r="A27" s="483">
        <v>9</v>
      </c>
      <c r="C27" s="814"/>
      <c r="D27" s="756">
        <v>4497</v>
      </c>
      <c r="E27" s="680" t="s">
        <v>30</v>
      </c>
      <c r="F27" s="756" t="str">
        <f>+VLOOKUP(E27,'Base Indicadores 1'!$B$7:$AM$85,10,0)</f>
        <v>Porcentaje</v>
      </c>
      <c r="G27" s="756" t="str">
        <f>+VLOOKUP(E27,'Base Indicadores 1'!$B$7:$AL$85,8,0)</f>
        <v>Anual</v>
      </c>
      <c r="H27" s="681" t="str">
        <f>+VLOOKUP(E27,'Base Indicadores 1'!$B$7:$AL$85,9,0)</f>
        <v>Flujo</v>
      </c>
      <c r="I27" s="682">
        <f>+VLOOKUP(E27,'Base Indicadores 1'!$B$7:$AM$85,12,0)</f>
        <v>0</v>
      </c>
      <c r="J27" s="685">
        <f>+VLOOKUP(E27,'Base Indicadores 1'!$B$7:$AM$85,11,0)</f>
        <v>0.12</v>
      </c>
      <c r="K27" s="682">
        <f>+VLOOKUP(E27,'Base Indicadores 1'!$B$7:$AM$85,32,0)</f>
        <v>0</v>
      </c>
      <c r="L27" s="683">
        <f>+VLOOKUP(E27,'Base Indicadores 1'!$B$7:$AM$85,35,0)</f>
        <v>0</v>
      </c>
      <c r="M27" s="684" t="str">
        <f>VLOOKUP(E27,'Base Indicadores 1'!$B$7:$AM$85,36,0)</f>
        <v>Dato a diciembre 2017</v>
      </c>
      <c r="N27" s="756" t="s">
        <v>348</v>
      </c>
      <c r="O27" s="772">
        <f t="shared" si="0"/>
        <v>0</v>
      </c>
    </row>
    <row r="28" spans="1:15" ht="59.25" customHeight="1" x14ac:dyDescent="0.25">
      <c r="A28" s="483">
        <v>10</v>
      </c>
      <c r="C28" s="814" t="s">
        <v>130</v>
      </c>
      <c r="D28" s="756">
        <v>4436</v>
      </c>
      <c r="E28" s="680" t="s">
        <v>33</v>
      </c>
      <c r="F28" s="756" t="str">
        <f>+VLOOKUP(E28,'Base Indicadores 1'!$B$7:$AM$85,10,0)</f>
        <v>Porcentaje</v>
      </c>
      <c r="G28" s="756" t="str">
        <f>+VLOOKUP(E28,'Base Indicadores 1'!$B$7:$AL$85,8,0)</f>
        <v>Anual</v>
      </c>
      <c r="H28" s="681" t="str">
        <f>+VLOOKUP(E28,'Base Indicadores 1'!$B$7:$AL$85,9,0)</f>
        <v>Flujo</v>
      </c>
      <c r="I28" s="682">
        <f>+VLOOKUP(E28,'Base Indicadores 1'!$B$7:$AM$85,12,0)</f>
        <v>0.27700000000000002</v>
      </c>
      <c r="J28" s="685">
        <f>+VLOOKUP(E28,'Base Indicadores 1'!$B$7:$AM$85,11,0)</f>
        <v>0.309</v>
      </c>
      <c r="K28" s="682">
        <f>+VLOOKUP(E28,'Base Indicadores 1'!$B$7:$AM$85,32,0)</f>
        <v>0.32129999999999997</v>
      </c>
      <c r="L28" s="683">
        <f>+VLOOKUP(E28,'Base Indicadores 1'!$B$7:$AM$85,35,0)</f>
        <v>1.0398058252427185</v>
      </c>
      <c r="M28" s="684" t="str">
        <f>VLOOKUP(E28,'Base Indicadores 1'!$B$7:$AM$85,36,0)</f>
        <v>Dato a diciembre 2017</v>
      </c>
      <c r="N28" s="756" t="s">
        <v>347</v>
      </c>
      <c r="O28" s="772">
        <f t="shared" si="0"/>
        <v>1</v>
      </c>
    </row>
    <row r="29" spans="1:15" ht="30" customHeight="1" x14ac:dyDescent="0.25">
      <c r="A29" s="483">
        <v>11</v>
      </c>
      <c r="C29" s="814"/>
      <c r="D29" s="756">
        <v>5158</v>
      </c>
      <c r="E29" s="680" t="s">
        <v>41</v>
      </c>
      <c r="F29" s="756" t="str">
        <f>+VLOOKUP(E29,'Base Indicadores 1'!$B$7:$AM$85,10,0)</f>
        <v>Tutores</v>
      </c>
      <c r="G29" s="756" t="str">
        <f>+VLOOKUP(E29,'Base Indicadores 1'!$B$7:$AL$85,8,0)</f>
        <v>Bimestral</v>
      </c>
      <c r="H29" s="681" t="str">
        <f>+VLOOKUP(E29,'Base Indicadores 1'!$B$7:$AL$85,9,0)</f>
        <v>Capacidad</v>
      </c>
      <c r="I29" s="686">
        <f>+VLOOKUP(E29,'Base Indicadores 1'!$B$7:$AM$85,12,0)</f>
        <v>2889</v>
      </c>
      <c r="J29" s="694">
        <f>+VLOOKUP(E29,'Base Indicadores 1'!$B$7:$AM$85,11,0)</f>
        <v>4350</v>
      </c>
      <c r="K29" s="686">
        <f>+VLOOKUP(E29,'Base Indicadores 1'!$B$7:$AM$85,32,0)</f>
        <v>4138</v>
      </c>
      <c r="L29" s="683">
        <f>+VLOOKUP(E29,'Base Indicadores 1'!$B$7:$AM$85,35,0)</f>
        <v>0.85489390828199863</v>
      </c>
      <c r="M29" s="684" t="str">
        <f>VLOOKUP(E29,'Base Indicadores 1'!$B$7:$AM$85,36,0)</f>
        <v xml:space="preserve">Diciembre: 4.138
septiembre: 4.138
Dato a junio 2018
Febrero: 3.998
Abril: 4.138
</v>
      </c>
      <c r="N29" s="756"/>
      <c r="O29" s="772">
        <f t="shared" si="0"/>
        <v>0.85489390828199863</v>
      </c>
    </row>
    <row r="30" spans="1:15" ht="72.75" customHeight="1" x14ac:dyDescent="0.25">
      <c r="A30" s="483">
        <v>12</v>
      </c>
      <c r="C30" s="814"/>
      <c r="D30" s="756">
        <v>4437</v>
      </c>
      <c r="E30" s="680" t="s">
        <v>34</v>
      </c>
      <c r="F30" s="756" t="str">
        <f>+VLOOKUP(E30,'Base Indicadores 1'!$B$7:$AM$85,10,0)</f>
        <v>Porcentaje</v>
      </c>
      <c r="G30" s="756" t="str">
        <f>+VLOOKUP(E30,'Base Indicadores 1'!$B$7:$AL$85,8,0)</f>
        <v>Anual</v>
      </c>
      <c r="H30" s="681" t="str">
        <f>+VLOOKUP(E30,'Base Indicadores 1'!$B$7:$AL$85,9,0)</f>
        <v>Flujo</v>
      </c>
      <c r="I30" s="682">
        <f>+VLOOKUP(E30,'Base Indicadores 1'!$B$7:$AM$85,12,0)</f>
        <v>0.217</v>
      </c>
      <c r="J30" s="685">
        <f>+VLOOKUP(E30,'Base Indicadores 1'!$B$7:$AM$85,11,0)</f>
        <v>0.29899999999999999</v>
      </c>
      <c r="K30" s="682">
        <f>+VLOOKUP(E30,'Base Indicadores 1'!$B$7:$AM$85,32,0)</f>
        <v>0.2084</v>
      </c>
      <c r="L30" s="683">
        <f>+VLOOKUP(E30,'Base Indicadores 1'!$B$7:$AM$85,35,0)</f>
        <v>0.69698996655518397</v>
      </c>
      <c r="M30" s="684" t="str">
        <f>VLOOKUP(E30,'Base Indicadores 1'!$B$7:$AM$85,36,0)</f>
        <v>Dato a diciembre 2017</v>
      </c>
      <c r="N30" s="756" t="s">
        <v>348</v>
      </c>
      <c r="O30" s="772">
        <f t="shared" si="0"/>
        <v>0.69698996655518397</v>
      </c>
    </row>
    <row r="31" spans="1:15" ht="39.75" customHeight="1" x14ac:dyDescent="0.25">
      <c r="A31" s="483">
        <v>13</v>
      </c>
      <c r="C31" s="814"/>
      <c r="D31" s="756">
        <v>4438</v>
      </c>
      <c r="E31" s="680" t="s">
        <v>35</v>
      </c>
      <c r="F31" s="756" t="str">
        <f>+VLOOKUP(E31,'Base Indicadores 1'!$B$7:$AM$85,10,0)</f>
        <v>Razon</v>
      </c>
      <c r="G31" s="756" t="str">
        <f>+VLOOKUP(E31,'Base Indicadores 1'!$B$7:$AL$85,8,0)</f>
        <v>Anual</v>
      </c>
      <c r="H31" s="681" t="str">
        <f>+VLOOKUP(E31,'Base Indicadores 1'!$B$7:$AL$85,9,0)</f>
        <v>Reducción</v>
      </c>
      <c r="I31" s="688">
        <f>+VLOOKUP(E31,'Base Indicadores 1'!$B$7:$AM$85,12,0)</f>
        <v>27</v>
      </c>
      <c r="J31" s="695">
        <f>+VLOOKUP(E31,'Base Indicadores 1'!$B$7:$AM$85,11,0)</f>
        <v>20</v>
      </c>
      <c r="K31" s="688">
        <f>+VLOOKUP(E31,'Base Indicadores 1'!$B$7:$AM$85,32,0)</f>
        <v>23.49</v>
      </c>
      <c r="L31" s="683">
        <f>+VLOOKUP(E31,'Base Indicadores 1'!$B$7:$AM$85,35,0)</f>
        <v>0.50142857142857167</v>
      </c>
      <c r="M31" s="684" t="str">
        <f>VLOOKUP(E31,'Base Indicadores 1'!$B$7:$AM$85,36,0)</f>
        <v>Dato a diciembre 2018</v>
      </c>
      <c r="N31" s="756" t="s">
        <v>348</v>
      </c>
      <c r="O31" s="772">
        <f t="shared" si="0"/>
        <v>0.50142857142857167</v>
      </c>
    </row>
    <row r="32" spans="1:15" ht="63" customHeight="1" x14ac:dyDescent="0.25">
      <c r="A32" s="483">
        <v>14</v>
      </c>
      <c r="C32" s="814" t="s">
        <v>129</v>
      </c>
      <c r="D32" s="756">
        <v>4499</v>
      </c>
      <c r="E32" s="680" t="s">
        <v>32</v>
      </c>
      <c r="F32" s="756" t="str">
        <f>+VLOOKUP(E32,'Base Indicadores 1'!$B$7:$AM$85,10,0)</f>
        <v>Porcentaje</v>
      </c>
      <c r="G32" s="756" t="str">
        <f>+VLOOKUP(E32,'Base Indicadores 1'!$B$7:$AL$85,8,0)</f>
        <v>Trimestral</v>
      </c>
      <c r="H32" s="681" t="str">
        <f>+VLOOKUP(E32,'Base Indicadores 1'!$B$7:$AL$85,9,0)</f>
        <v>Capacidad</v>
      </c>
      <c r="I32" s="682">
        <f>+VLOOKUP(E32,'Base Indicadores 1'!$B$7:$AM$85,12,0)</f>
        <v>0</v>
      </c>
      <c r="J32" s="685">
        <f>+VLOOKUP(E32,'Base Indicadores 1'!$B$7:$AM$85,11,0)</f>
        <v>0.2</v>
      </c>
      <c r="K32" s="682">
        <f>+VLOOKUP(E32,'Base Indicadores 1'!$B$7:$AM$85,32,0)</f>
        <v>0.13389999999999999</v>
      </c>
      <c r="L32" s="683">
        <f>+VLOOKUP(E32,'Base Indicadores 1'!$B$7:$AM$85,35,0)</f>
        <v>0.66949999999999987</v>
      </c>
      <c r="M32" s="684" t="str">
        <f>VLOOKUP(E32,'Base Indicadores 1'!$B$7:$AM$85,36,0)</f>
        <v>dato a septiembre- REPORTE OAPF</v>
      </c>
      <c r="N32" s="756" t="s">
        <v>348</v>
      </c>
      <c r="O32" s="772">
        <f t="shared" si="0"/>
        <v>0.66949999999999987</v>
      </c>
    </row>
    <row r="33" spans="1:15" ht="59.25" customHeight="1" x14ac:dyDescent="0.25">
      <c r="A33" s="483">
        <v>15</v>
      </c>
      <c r="C33" s="814"/>
      <c r="D33" s="756">
        <v>5163</v>
      </c>
      <c r="E33" s="680" t="s">
        <v>44</v>
      </c>
      <c r="F33" s="756" t="str">
        <f>+VLOOKUP(E33,'Base Indicadores 1'!$B$7:$AM$85,10,0)</f>
        <v>Estudiantes</v>
      </c>
      <c r="G33" s="756" t="str">
        <f>+VLOOKUP(E33,'Base Indicadores 1'!$B$7:$AL$85,8,0)</f>
        <v>Trimestral</v>
      </c>
      <c r="H33" s="681" t="str">
        <f>+VLOOKUP(E33,'Base Indicadores 1'!$B$7:$AL$85,9,0)</f>
        <v>Capacidad</v>
      </c>
      <c r="I33" s="688">
        <f>+VLOOKUP(E33,'Base Indicadores 1'!$B$7:$AM$85,12,0)</f>
        <v>0</v>
      </c>
      <c r="J33" s="694">
        <f>+VLOOKUP(E33,'Base Indicadores 1'!$B$7:$AM$85,11,0)</f>
        <v>1500000</v>
      </c>
      <c r="K33" s="686">
        <f>+VLOOKUP(E33,'Base Indicadores 1'!$B$7:$AM$85,32,0)</f>
        <v>992888</v>
      </c>
      <c r="L33" s="683">
        <f>+VLOOKUP(E33,'Base Indicadores 1'!$B$7:$AM$85,35,0)</f>
        <v>0.66192533333333337</v>
      </c>
      <c r="M33" s="684" t="str">
        <f>VLOOKUP(E33,'Base Indicadores 1'!$B$7:$AM$85,36,0)</f>
        <v>dato a Noviembre- INFORMACIÓN OAPF
Marzo: 788.973
Junio: 931.771
*Octubre. 984.160
Noviembre: 977.898
Dato cierre diciembre sale en junio-19</v>
      </c>
      <c r="N33" s="756" t="s">
        <v>348</v>
      </c>
      <c r="O33" s="772">
        <f t="shared" si="0"/>
        <v>0.66192533333333337</v>
      </c>
    </row>
    <row r="34" spans="1:15" ht="43.5" customHeight="1" x14ac:dyDescent="0.25">
      <c r="A34" s="483">
        <v>16</v>
      </c>
      <c r="C34" s="814" t="s">
        <v>128</v>
      </c>
      <c r="D34" s="756">
        <v>4498</v>
      </c>
      <c r="E34" s="680" t="s">
        <v>31</v>
      </c>
      <c r="F34" s="756" t="str">
        <f>+VLOOKUP(E34,'Base Indicadores 1'!$B$7:$AM$85,10,0)</f>
        <v>Porcentaje</v>
      </c>
      <c r="G34" s="756" t="str">
        <f>+VLOOKUP(E34,'Base Indicadores 1'!$B$7:$AL$85,8,0)</f>
        <v>Anual</v>
      </c>
      <c r="H34" s="681" t="str">
        <f>+VLOOKUP(E34,'Base Indicadores 1'!$B$7:$AL$85,9,0)</f>
        <v>Flujo</v>
      </c>
      <c r="I34" s="682">
        <f>+VLOOKUP(E34,'Base Indicadores 1'!$B$7:$AM$85,12,0)</f>
        <v>2.2599999999999999E-2</v>
      </c>
      <c r="J34" s="685">
        <f>+VLOOKUP(E34,'Base Indicadores 1'!$B$7:$AM$85,11,0)</f>
        <v>0.08</v>
      </c>
      <c r="K34" s="682">
        <f>+VLOOKUP(E34,'Base Indicadores 1'!$B$7:$AM$85,32,0)</f>
        <v>4.7500000000000001E-2</v>
      </c>
      <c r="L34" s="683">
        <f>+VLOOKUP(E34,'Base Indicadores 1'!$B$7:$AM$85,35,0)</f>
        <v>0.59375</v>
      </c>
      <c r="M34" s="684" t="str">
        <f>VLOOKUP(E34,'Base Indicadores 1'!$B$7:$AM$85,36,0)</f>
        <v>Dato a diciembre 2017</v>
      </c>
      <c r="N34" s="756" t="s">
        <v>348</v>
      </c>
      <c r="O34" s="772">
        <f t="shared" si="0"/>
        <v>0.59375</v>
      </c>
    </row>
    <row r="35" spans="1:15" ht="45" x14ac:dyDescent="0.25">
      <c r="A35" s="483">
        <v>17</v>
      </c>
      <c r="C35" s="814"/>
      <c r="D35" s="756">
        <v>5464</v>
      </c>
      <c r="E35" s="680" t="s">
        <v>75</v>
      </c>
      <c r="F35" s="756" t="str">
        <f>+VLOOKUP(E35,'Base Indicadores 1'!$B$7:$AM$85,10,0)</f>
        <v xml:space="preserve">Secretarias de Educación </v>
      </c>
      <c r="G35" s="756" t="str">
        <f>+VLOOKUP(E35,'Base Indicadores 1'!$B$7:$AL$85,8,0)</f>
        <v>Trimestral</v>
      </c>
      <c r="H35" s="681" t="str">
        <f>+VLOOKUP(E35,'Base Indicadores 1'!$B$7:$AL$85,9,0)</f>
        <v>Flujo</v>
      </c>
      <c r="I35" s="686">
        <f>+VLOOKUP(E35,'Base Indicadores 1'!$B$7:$AM$85,12,0)</f>
        <v>94</v>
      </c>
      <c r="J35" s="694">
        <f>+VLOOKUP(E35,'Base Indicadores 1'!$B$7:$AM$85,11,0)</f>
        <v>95</v>
      </c>
      <c r="K35" s="686">
        <f>+VLOOKUP(E35,'Base Indicadores 1'!$B$7:$AM$85,32,0)</f>
        <v>73</v>
      </c>
      <c r="L35" s="683">
        <f>+VLOOKUP(E35,'Base Indicadores 1'!$B$7:$AM$85,35,0)</f>
        <v>0.76842105263157889</v>
      </c>
      <c r="M35" s="684" t="s">
        <v>416</v>
      </c>
      <c r="N35" s="689" t="s">
        <v>348</v>
      </c>
      <c r="O35" s="772">
        <f t="shared" si="0"/>
        <v>0.76842105263157889</v>
      </c>
    </row>
    <row r="36" spans="1:15" ht="52.5" customHeight="1" x14ac:dyDescent="0.25">
      <c r="A36" s="483">
        <v>18</v>
      </c>
      <c r="C36" s="814"/>
      <c r="D36" s="756">
        <v>5466</v>
      </c>
      <c r="E36" s="680" t="s">
        <v>77</v>
      </c>
      <c r="F36" s="756" t="str">
        <f>+VLOOKUP(E36,'Base Indicadores 1'!$B$7:$AM$85,10,0)</f>
        <v>Municipios</v>
      </c>
      <c r="G36" s="756" t="str">
        <f>+VLOOKUP(E36,'Base Indicadores 1'!$B$7:$AL$85,8,0)</f>
        <v>Semestral</v>
      </c>
      <c r="H36" s="681" t="str">
        <f>+VLOOKUP(E36,'Base Indicadores 1'!$B$7:$AL$85,9,0)</f>
        <v>Capacidad</v>
      </c>
      <c r="I36" s="688">
        <f>+VLOOKUP(E36,'Base Indicadores 1'!$B$7:$AM$85,12,0)</f>
        <v>0</v>
      </c>
      <c r="J36" s="694">
        <f>+VLOOKUP(E36,'Base Indicadores 1'!$B$7:$AM$85,11,0)</f>
        <v>282</v>
      </c>
      <c r="K36" s="686">
        <f>+VLOOKUP(E36,'Base Indicadores 1'!$B$7:$AM$85,32,0)</f>
        <v>269</v>
      </c>
      <c r="L36" s="683">
        <f>+VLOOKUP(E36,'Base Indicadores 1'!$B$7:$AM$85,35,0)</f>
        <v>0.95390070921985815</v>
      </c>
      <c r="M36" s="684" t="str">
        <f>VLOOKUP(E36,'Base Indicadores 1'!$B$7:$AM$85,36,0)</f>
        <v>Dato a junio 2018
PENDIENTE DATO DIC 2018</v>
      </c>
      <c r="N36" s="689"/>
      <c r="O36" s="772">
        <f t="shared" si="0"/>
        <v>0.95390070921985815</v>
      </c>
    </row>
    <row r="37" spans="1:15" ht="59.25" customHeight="1" x14ac:dyDescent="0.25">
      <c r="A37" s="483">
        <v>19</v>
      </c>
      <c r="C37" s="814"/>
      <c r="D37" s="756">
        <v>5465</v>
      </c>
      <c r="E37" s="690" t="s">
        <v>76</v>
      </c>
      <c r="F37" s="756" t="str">
        <f>+VLOOKUP(E37,'Base Indicadores 1'!$B$7:$AM$85,10,0)</f>
        <v>Porcentaje</v>
      </c>
      <c r="G37" s="756" t="str">
        <f>+VLOOKUP(E37,'Base Indicadores 1'!$B$7:$AL$85,8,0)</f>
        <v>Trimestral</v>
      </c>
      <c r="H37" s="681" t="str">
        <f>+VLOOKUP(E37,'Base Indicadores 1'!$B$7:$AL$85,9,0)</f>
        <v>Capacidad</v>
      </c>
      <c r="I37" s="682">
        <f>+VLOOKUP(E37,'Base Indicadores 1'!$B$7:$AM$85,12,0)</f>
        <v>0</v>
      </c>
      <c r="J37" s="685">
        <f>+VLOOKUP(E37,'Base Indicadores 1'!$B$7:$AM$85,11,0)</f>
        <v>0.5</v>
      </c>
      <c r="K37" s="682">
        <f>+VLOOKUP(E37,'Base Indicadores 1'!$B$7:$AM$85,32,0)</f>
        <v>0.32</v>
      </c>
      <c r="L37" s="683">
        <f>+VLOOKUP(E37,'Base Indicadores 1'!$B$7:$AM$85,35,0)</f>
        <v>0.64</v>
      </c>
      <c r="M37" s="684" t="str">
        <f>VLOOKUP(E37,'Base Indicadores 1'!$B$7:$AM$85,36,0)</f>
        <v>Dato a Septiembre 2018
PENDIENTE DATO A DICIEMBRE 2018</v>
      </c>
      <c r="N37" s="689" t="s">
        <v>348</v>
      </c>
      <c r="O37" s="773">
        <f t="shared" si="0"/>
        <v>0.64</v>
      </c>
    </row>
    <row r="38" spans="1:15" ht="54" customHeight="1" x14ac:dyDescent="0.25">
      <c r="A38" s="483">
        <v>20</v>
      </c>
      <c r="C38" s="814" t="s">
        <v>123</v>
      </c>
      <c r="D38" s="756">
        <v>4999</v>
      </c>
      <c r="E38" s="680" t="s">
        <v>24</v>
      </c>
      <c r="F38" s="756" t="str">
        <f>+VLOOKUP(E38,'Base Indicadores 1'!$B$7:$AM$85,10,0)</f>
        <v>Estudiantes</v>
      </c>
      <c r="G38" s="756" t="str">
        <f>+VLOOKUP(E38,'Base Indicadores 1'!$B$7:$AL$85,8,0)</f>
        <v>Anual</v>
      </c>
      <c r="H38" s="681" t="str">
        <f>+VLOOKUP(E38,'Base Indicadores 1'!$B$7:$AL$85,9,0)</f>
        <v>Acumulado</v>
      </c>
      <c r="I38" s="686">
        <f>+VLOOKUP(E38,'Base Indicadores 1'!$B$7:$AM$85,12,0)</f>
        <v>432372</v>
      </c>
      <c r="J38" s="694">
        <f>+VLOOKUP(E38,'Base Indicadores 1'!$B$7:$AM$85,11,0)</f>
        <v>500798</v>
      </c>
      <c r="K38" s="686">
        <f>+VLOOKUP(E38,'Base Indicadores 1'!$B$7:$AM$85,32,0)</f>
        <v>404271</v>
      </c>
      <c r="L38" s="683">
        <f>+VLOOKUP(E38,'Base Indicadores 1'!$B$7:$AM$85,35,0)</f>
        <v>0.80725362321734506</v>
      </c>
      <c r="M38" s="684" t="str">
        <f>VLOOKUP(E38,'Base Indicadores 1'!$B$7:$AM$85,36,0)</f>
        <v>Dato a diciembre 2017
Dato a 2018 sale en mayo 19</v>
      </c>
      <c r="N38" s="689"/>
      <c r="O38" s="772">
        <f t="shared" si="0"/>
        <v>0.80725362321734506</v>
      </c>
    </row>
    <row r="39" spans="1:15" ht="70.5" customHeight="1" x14ac:dyDescent="0.25">
      <c r="A39" s="483">
        <v>21</v>
      </c>
      <c r="C39" s="814"/>
      <c r="D39" s="756">
        <v>5012</v>
      </c>
      <c r="E39" s="680" t="s">
        <v>17</v>
      </c>
      <c r="F39" s="756" t="str">
        <f>+VLOOKUP(E39,'Base Indicadores 1'!$B$7:$AM$85,10,0)</f>
        <v>Estudiantes</v>
      </c>
      <c r="G39" s="756" t="str">
        <f>+VLOOKUP(E39,'Base Indicadores 1'!$B$7:$AL$85,8,0)</f>
        <v>Anual</v>
      </c>
      <c r="H39" s="681" t="str">
        <f>+VLOOKUP(E39,'Base Indicadores 1'!$B$7:$AL$85,9,0)</f>
        <v>Flujo</v>
      </c>
      <c r="I39" s="686">
        <f>+VLOOKUP(E39,'Base Indicadores 1'!$B$7:$AM$85,12,0)</f>
        <v>362740</v>
      </c>
      <c r="J39" s="694">
        <f>+VLOOKUP(E39,'Base Indicadores 1'!$B$7:$AM$85,11,0)</f>
        <v>366740</v>
      </c>
      <c r="K39" s="686">
        <f>+VLOOKUP(E39,'Base Indicadores 1'!$B$7:$AM$85,32,0)</f>
        <v>327111</v>
      </c>
      <c r="L39" s="683">
        <f>+VLOOKUP(E39,'Base Indicadores 1'!$B$7:$AM$85,35,0)</f>
        <v>0.89194252058679169</v>
      </c>
      <c r="M39" s="684" t="str">
        <f>VLOOKUP(E39,'Base Indicadores 1'!$B$7:$AM$85,36,0)</f>
        <v>Dato a diciembre 2017
Dato a 2018 sale en mayo 19</v>
      </c>
      <c r="N39" s="689"/>
      <c r="O39" s="772">
        <f t="shared" si="0"/>
        <v>0.89194252058679169</v>
      </c>
    </row>
    <row r="40" spans="1:15" ht="30" x14ac:dyDescent="0.25">
      <c r="A40" s="483">
        <v>22</v>
      </c>
      <c r="C40" s="814"/>
      <c r="D40" s="756">
        <v>5015</v>
      </c>
      <c r="E40" s="680" t="s">
        <v>14</v>
      </c>
      <c r="F40" s="756" t="str">
        <f>+VLOOKUP(E40,'Base Indicadores 1'!$B$7:$AM$85,10,0)</f>
        <v>Estudiantes</v>
      </c>
      <c r="G40" s="756" t="str">
        <f>+VLOOKUP(E40,'Base Indicadores 1'!$B$7:$AL$85,8,0)</f>
        <v>Anual</v>
      </c>
      <c r="H40" s="681" t="str">
        <f>+VLOOKUP(E40,'Base Indicadores 1'!$B$7:$AL$85,9,0)</f>
        <v>Flujo</v>
      </c>
      <c r="I40" s="686">
        <f>+VLOOKUP(E40,'Base Indicadores 1'!$B$7:$AM$85,12,0)</f>
        <v>109658</v>
      </c>
      <c r="J40" s="694">
        <f>+VLOOKUP(E40,'Base Indicadores 1'!$B$7:$AM$85,11,0)</f>
        <v>135964</v>
      </c>
      <c r="K40" s="686">
        <f>+VLOOKUP(E40,'Base Indicadores 1'!$B$7:$AM$85,32,0)</f>
        <v>112959</v>
      </c>
      <c r="L40" s="683">
        <f>+VLOOKUP(E40,'Base Indicadores 1'!$B$7:$AM$85,35,0)</f>
        <v>0.83080080021182079</v>
      </c>
      <c r="M40" s="684" t="str">
        <f>VLOOKUP(E40,'Base Indicadores 1'!$B$7:$AM$85,36,0)</f>
        <v>Dato a diciembre 2017</v>
      </c>
      <c r="N40" s="689"/>
      <c r="O40" s="772">
        <f t="shared" si="0"/>
        <v>0.83080080021182079</v>
      </c>
    </row>
    <row r="41" spans="1:15" ht="44.25" customHeight="1" x14ac:dyDescent="0.25">
      <c r="A41" s="483">
        <v>23</v>
      </c>
      <c r="C41" s="814"/>
      <c r="D41" s="756">
        <v>5001</v>
      </c>
      <c r="E41" s="691" t="s">
        <v>26</v>
      </c>
      <c r="F41" s="756" t="str">
        <f>+VLOOKUP(E41,'Base Indicadores 1'!$B$7:$AM$85,10,0)</f>
        <v>Personas</v>
      </c>
      <c r="G41" s="756" t="str">
        <f>+VLOOKUP(E41,'Base Indicadores 1'!$B$7:$AL$85,8,0)</f>
        <v>Anual</v>
      </c>
      <c r="H41" s="681" t="str">
        <f>+VLOOKUP(E41,'Base Indicadores 1'!$B$7:$AL$85,9,0)</f>
        <v>Reducción</v>
      </c>
      <c r="I41" s="686">
        <f>+VLOOKUP(E41,'Base Indicadores 1'!$B$7:$AM$85,12,0)</f>
        <v>690512</v>
      </c>
      <c r="J41" s="694">
        <f>+VLOOKUP(E41,'Base Indicadores 1'!$B$7:$AM$85,11,0)</f>
        <v>553408</v>
      </c>
      <c r="K41" s="686">
        <f>+VLOOKUP(E41,'Base Indicadores 1'!$B$7:$AM$85,32,0)</f>
        <v>660327</v>
      </c>
      <c r="L41" s="683">
        <f>+VLOOKUP(E41,'Base Indicadores 1'!$B$7:$AM$85,35,0)</f>
        <v>0.22016133737892402</v>
      </c>
      <c r="M41" s="684" t="str">
        <f>VLOOKUP(E41,'Base Indicadores 1'!$B$7:$AM$85,36,0)</f>
        <v>Dato a diciembre 2017
Dato a 2018 sale en junio 19</v>
      </c>
      <c r="N41" s="689" t="s">
        <v>348</v>
      </c>
      <c r="O41" s="772">
        <f t="shared" si="0"/>
        <v>0.22016133737892402</v>
      </c>
    </row>
    <row r="42" spans="1:15" ht="30" x14ac:dyDescent="0.25">
      <c r="A42" s="483">
        <v>24</v>
      </c>
      <c r="C42" s="814"/>
      <c r="D42" s="756">
        <v>4441</v>
      </c>
      <c r="E42" s="680" t="s">
        <v>4</v>
      </c>
      <c r="F42" s="756" t="str">
        <f>+VLOOKUP(E42,'Base Indicadores 1'!$B$7:$AM$85,10,0)</f>
        <v>Porcentaje</v>
      </c>
      <c r="G42" s="756" t="str">
        <f>+VLOOKUP(E42,'Base Indicadores 1'!$B$7:$AL$85,8,0)</f>
        <v>Anual</v>
      </c>
      <c r="H42" s="681" t="str">
        <f>+VLOOKUP(E42,'Base Indicadores 1'!$B$7:$AL$85,9,0)</f>
        <v>Flujo</v>
      </c>
      <c r="I42" s="682">
        <f>+VLOOKUP(E42,'Base Indicadores 1'!$B$7:$AM$85,12,0)</f>
        <v>0.871</v>
      </c>
      <c r="J42" s="685">
        <f>+VLOOKUP(E42,'Base Indicadores 1'!$B$7:$AM$85,11,0)</f>
        <v>0.93</v>
      </c>
      <c r="K42" s="682">
        <f>+VLOOKUP(E42,'Base Indicadores 1'!$B$7:$AM$85,32,0)</f>
        <v>0.86040000000000005</v>
      </c>
      <c r="L42" s="683">
        <f>+VLOOKUP(E42,'Base Indicadores 1'!$B$7:$AM$85,35,0)</f>
        <v>0.92516129032258065</v>
      </c>
      <c r="M42" s="684" t="str">
        <f>VLOOKUP(E42,'Base Indicadores 1'!$B$7:$AM$85,36,0)</f>
        <v>Dato a diciembre 2017
El dato a 2018 sale en mayo-19</v>
      </c>
      <c r="N42" s="689"/>
      <c r="O42" s="772">
        <f t="shared" si="0"/>
        <v>0.92516129032258065</v>
      </c>
    </row>
    <row r="43" spans="1:15" ht="30" x14ac:dyDescent="0.25">
      <c r="A43" s="483">
        <v>25</v>
      </c>
      <c r="C43" s="814"/>
      <c r="D43" s="756">
        <v>5000</v>
      </c>
      <c r="E43" s="680" t="s">
        <v>25</v>
      </c>
      <c r="F43" s="756" t="str">
        <f>+VLOOKUP(E43,'Base Indicadores 1'!$B$7:$AM$85,10,0)</f>
        <v>Sedes educativas</v>
      </c>
      <c r="G43" s="756" t="str">
        <f>+VLOOKUP(E43,'Base Indicadores 1'!$B$7:$AL$85,8,0)</f>
        <v>Anual</v>
      </c>
      <c r="H43" s="681" t="str">
        <f>+VLOOKUP(E43,'Base Indicadores 1'!$B$7:$AL$85,9,0)</f>
        <v>Flujo</v>
      </c>
      <c r="I43" s="686">
        <f>+VLOOKUP(E43,'Base Indicadores 1'!$B$7:$AM$85,12,0)</f>
        <v>5258</v>
      </c>
      <c r="J43" s="694">
        <f>+VLOOKUP(E43,'Base Indicadores 1'!$B$7:$AM$85,11,0)</f>
        <v>3869</v>
      </c>
      <c r="K43" s="686">
        <f>+VLOOKUP(E43,'Base Indicadores 1'!$B$7:$AM$85,32,0)</f>
        <v>4525</v>
      </c>
      <c r="L43" s="683">
        <f>+VLOOKUP(E43,'Base Indicadores 1'!$B$7:$AM$85,35,0)</f>
        <v>1.1695528560351511</v>
      </c>
      <c r="M43" s="684" t="str">
        <f>VLOOKUP(E43,'Base Indicadores 1'!$B$7:$AM$85,36,0)</f>
        <v>Dato a diciembre 2017
Dato a 2018 sale en mayo 19</v>
      </c>
      <c r="N43" s="689" t="s">
        <v>347</v>
      </c>
      <c r="O43" s="772">
        <f t="shared" si="0"/>
        <v>1</v>
      </c>
    </row>
    <row r="44" spans="1:15" ht="43.5" customHeight="1" x14ac:dyDescent="0.25">
      <c r="A44" s="483">
        <v>26</v>
      </c>
      <c r="C44" s="814"/>
      <c r="D44" s="756">
        <v>5010</v>
      </c>
      <c r="E44" s="680" t="s">
        <v>22</v>
      </c>
      <c r="F44" s="756" t="str">
        <f>+VLOOKUP(E44,'Base Indicadores 1'!$B$7:$AM$85,10,0)</f>
        <v>Sedes educativas</v>
      </c>
      <c r="G44" s="756" t="str">
        <f>+VLOOKUP(E44,'Base Indicadores 1'!$B$7:$AL$85,8,0)</f>
        <v>Anual</v>
      </c>
      <c r="H44" s="681" t="str">
        <f>+VLOOKUP(E44,'Base Indicadores 1'!$B$7:$AL$85,9,0)</f>
        <v>Flujo</v>
      </c>
      <c r="I44" s="686">
        <f>+VLOOKUP(E44,'Base Indicadores 1'!$B$7:$AM$85,12,0)</f>
        <v>784</v>
      </c>
      <c r="J44" s="694">
        <f>+VLOOKUP(E44,'Base Indicadores 1'!$B$7:$AM$85,11,0)</f>
        <v>812</v>
      </c>
      <c r="K44" s="686">
        <f>+VLOOKUP(E44,'Base Indicadores 1'!$B$7:$AM$85,32,0)</f>
        <v>800</v>
      </c>
      <c r="L44" s="683">
        <f>+VLOOKUP(E44,'Base Indicadores 1'!$B$7:$AM$85,35,0)</f>
        <v>0.98522167487684731</v>
      </c>
      <c r="M44" s="684" t="str">
        <f>VLOOKUP(E44,'Base Indicadores 1'!$B$7:$AM$85,36,0)</f>
        <v>Dato a diciembre 2017</v>
      </c>
      <c r="N44" s="689"/>
      <c r="O44" s="772">
        <f t="shared" si="0"/>
        <v>0.98522167487684731</v>
      </c>
    </row>
    <row r="45" spans="1:15" ht="45.75" customHeight="1" x14ac:dyDescent="0.25">
      <c r="A45" s="483">
        <v>27</v>
      </c>
      <c r="C45" s="814"/>
      <c r="D45" s="756">
        <v>5016</v>
      </c>
      <c r="E45" s="680" t="s">
        <v>15</v>
      </c>
      <c r="F45" s="756" t="str">
        <f>+VLOOKUP(E45,'Base Indicadores 1'!$B$7:$AM$85,10,0)</f>
        <v>Sedes educativas</v>
      </c>
      <c r="G45" s="756" t="str">
        <f>+VLOOKUP(E45,'Base Indicadores 1'!$B$7:$AL$85,8,0)</f>
        <v>Anual</v>
      </c>
      <c r="H45" s="681" t="str">
        <f>+VLOOKUP(E45,'Base Indicadores 1'!$B$7:$AL$85,9,0)</f>
        <v>Flujo</v>
      </c>
      <c r="I45" s="686">
        <f>+VLOOKUP(E45,'Base Indicadores 1'!$B$7:$AM$85,12,0)</f>
        <v>251</v>
      </c>
      <c r="J45" s="694">
        <f>+VLOOKUP(E45,'Base Indicadores 1'!$B$7:$AM$85,11,0)</f>
        <v>311</v>
      </c>
      <c r="K45" s="686">
        <f>+VLOOKUP(E45,'Base Indicadores 1'!$B$7:$AM$85,32,0)</f>
        <v>242</v>
      </c>
      <c r="L45" s="683">
        <f>+VLOOKUP(E45,'Base Indicadores 1'!$B$7:$AM$85,35,0)</f>
        <v>0.77813504823151125</v>
      </c>
      <c r="M45" s="684" t="str">
        <f>VLOOKUP(E45,'Base Indicadores 1'!$B$7:$AM$85,36,0)</f>
        <v>Dato a diciembre 2017</v>
      </c>
      <c r="N45" s="689" t="s">
        <v>348</v>
      </c>
      <c r="O45" s="772">
        <f t="shared" si="0"/>
        <v>0.77813504823151125</v>
      </c>
    </row>
    <row r="46" spans="1:15" ht="42.75" customHeight="1" x14ac:dyDescent="0.25">
      <c r="A46" s="483">
        <v>28</v>
      </c>
      <c r="C46" s="814"/>
      <c r="D46" s="756">
        <v>5013</v>
      </c>
      <c r="E46" s="680" t="s">
        <v>18</v>
      </c>
      <c r="F46" s="756" t="str">
        <f>+VLOOKUP(E46,'Base Indicadores 1'!$B$7:$AM$85,10,0)</f>
        <v>Sedes educativas</v>
      </c>
      <c r="G46" s="756" t="str">
        <f>+VLOOKUP(E46,'Base Indicadores 1'!$B$7:$AL$85,8,0)</f>
        <v>Anual</v>
      </c>
      <c r="H46" s="681" t="str">
        <f>+VLOOKUP(E46,'Base Indicadores 1'!$B$7:$AL$85,9,0)</f>
        <v>Flujo</v>
      </c>
      <c r="I46" s="686">
        <f>+VLOOKUP(E46,'Base Indicadores 1'!$B$7:$AM$85,12,0)</f>
        <v>5515</v>
      </c>
      <c r="J46" s="694">
        <f>+VLOOKUP(E46,'Base Indicadores 1'!$B$7:$AM$85,11,0)</f>
        <v>5915</v>
      </c>
      <c r="K46" s="686">
        <f>+VLOOKUP(E46,'Base Indicadores 1'!$B$7:$AM$85,32,0)</f>
        <v>5654</v>
      </c>
      <c r="L46" s="683">
        <f>+VLOOKUP(E46,'Base Indicadores 1'!$B$7:$AM$85,35,0)</f>
        <v>0.9558748943364328</v>
      </c>
      <c r="M46" s="684" t="str">
        <f>VLOOKUP(E46,'Base Indicadores 1'!$B$7:$AM$85,36,0)</f>
        <v>Dato a diciembre 2017</v>
      </c>
      <c r="N46" s="689"/>
      <c r="O46" s="772">
        <f t="shared" si="0"/>
        <v>0.9558748943364328</v>
      </c>
    </row>
    <row r="47" spans="1:15" ht="24" customHeight="1" x14ac:dyDescent="0.25">
      <c r="A47" s="483">
        <v>29</v>
      </c>
      <c r="C47" s="814"/>
      <c r="D47" s="756">
        <v>4500</v>
      </c>
      <c r="E47" s="680" t="s">
        <v>2</v>
      </c>
      <c r="F47" s="756" t="str">
        <f>+VLOOKUP(E47,'Base Indicadores 1'!$B$7:$AM$85,10,0)</f>
        <v>Tasa</v>
      </c>
      <c r="G47" s="756" t="str">
        <f>+VLOOKUP(E47,'Base Indicadores 1'!$B$7:$AL$85,8,0)</f>
        <v>Anual</v>
      </c>
      <c r="H47" s="681" t="str">
        <f>+VLOOKUP(E47,'Base Indicadores 1'!$B$7:$AL$85,9,0)</f>
        <v>Capacidad</v>
      </c>
      <c r="I47" s="682">
        <f>+VLOOKUP(E47,'Base Indicadores 1'!$B$7:$AM$85,12,0)</f>
        <v>0.77300000000000002</v>
      </c>
      <c r="J47" s="685">
        <f>+VLOOKUP(E47,'Base Indicadores 1'!$B$7:$AM$85,11,0)</f>
        <v>0.83</v>
      </c>
      <c r="K47" s="682">
        <f>+VLOOKUP(E47,'Base Indicadores 1'!$B$7:$AM$85,32,0)</f>
        <v>0.80110000000000003</v>
      </c>
      <c r="L47" s="683">
        <f>+VLOOKUP(E47,'Base Indicadores 1'!$B$7:$AM$85,35,0)</f>
        <v>0.49298245614035163</v>
      </c>
      <c r="M47" s="684" t="str">
        <f>VLOOKUP(E47,'Base Indicadores 1'!$B$7:$AM$85,36,0)</f>
        <v>Dato a diciembre 2017</v>
      </c>
      <c r="N47" s="689" t="s">
        <v>348</v>
      </c>
      <c r="O47" s="772">
        <f t="shared" si="0"/>
        <v>0.49298245614035163</v>
      </c>
    </row>
    <row r="48" spans="1:15" ht="47.25" customHeight="1" x14ac:dyDescent="0.25">
      <c r="A48" s="483">
        <v>30</v>
      </c>
      <c r="C48" s="814"/>
      <c r="D48" s="756">
        <v>4443</v>
      </c>
      <c r="E48" s="680" t="s">
        <v>156</v>
      </c>
      <c r="F48" s="756" t="str">
        <f>+VLOOKUP(E48,'Base Indicadores 1'!$B$7:$AM$85,10,0)</f>
        <v>Tasa</v>
      </c>
      <c r="G48" s="756" t="str">
        <f>+VLOOKUP(E48,'Base Indicadores 1'!$B$7:$AL$85,8,0)</f>
        <v>Anual</v>
      </c>
      <c r="H48" s="681" t="str">
        <f>+VLOOKUP(E48,'Base Indicadores 1'!$B$7:$AL$85,9,0)</f>
        <v>Capacidad</v>
      </c>
      <c r="I48" s="682">
        <f>+VLOOKUP(E48,'Base Indicadores 1'!$B$7:$AM$85,12,0)</f>
        <v>0.621</v>
      </c>
      <c r="J48" s="685">
        <f>+VLOOKUP(E48,'Base Indicadores 1'!$B$7:$AM$85,11,0)</f>
        <v>0.69</v>
      </c>
      <c r="K48" s="682">
        <f>+VLOOKUP(E48,'Base Indicadores 1'!$B$7:$AM$85,32,0)</f>
        <v>0.66759999999999997</v>
      </c>
      <c r="L48" s="683">
        <f>+VLOOKUP(E48,'Base Indicadores 1'!$B$7:$AM$85,35,0)</f>
        <v>0.67536231884057984</v>
      </c>
      <c r="M48" s="684" t="str">
        <f>VLOOKUP(E48,'Base Indicadores 1'!$B$7:$AM$85,36,0)</f>
        <v>Dato a diciembre 2017
Dato a 2018 sale en junio 19</v>
      </c>
      <c r="N48" s="689" t="s">
        <v>348</v>
      </c>
      <c r="O48" s="772">
        <f t="shared" si="0"/>
        <v>0.67536231884057984</v>
      </c>
    </row>
    <row r="49" spans="1:15" ht="24" customHeight="1" x14ac:dyDescent="0.25">
      <c r="A49" s="483">
        <v>31</v>
      </c>
      <c r="C49" s="814"/>
      <c r="D49" s="756">
        <v>5014</v>
      </c>
      <c r="E49" s="680" t="s">
        <v>13</v>
      </c>
      <c r="F49" s="756" t="str">
        <f>+VLOOKUP(E49,'Base Indicadores 1'!$B$7:$AM$85,10,0)</f>
        <v>Tasa</v>
      </c>
      <c r="G49" s="756" t="str">
        <f>+VLOOKUP(E49,'Base Indicadores 1'!$B$7:$AL$85,8,0)</f>
        <v>Anual</v>
      </c>
      <c r="H49" s="681" t="str">
        <f>+VLOOKUP(E49,'Base Indicadores 1'!$B$7:$AL$85,9,0)</f>
        <v>Capacidad</v>
      </c>
      <c r="I49" s="682">
        <f>+VLOOKUP(E49,'Base Indicadores 1'!$B$7:$AM$85,12,0)</f>
        <v>0.73</v>
      </c>
      <c r="J49" s="685">
        <f>+VLOOKUP(E49,'Base Indicadores 1'!$B$7:$AM$85,11,0)</f>
        <v>0.84330000000000005</v>
      </c>
      <c r="K49" s="682">
        <f>+VLOOKUP(E49,'Base Indicadores 1'!$B$7:$AM$85,32,0)</f>
        <v>0.75449999999999995</v>
      </c>
      <c r="L49" s="683">
        <f>+VLOOKUP(E49,'Base Indicadores 1'!$B$7:$AM$85,35,0)</f>
        <v>0.21624007060900222</v>
      </c>
      <c r="M49" s="684" t="str">
        <f>VLOOKUP(E49,'Base Indicadores 1'!$B$7:$AM$85,36,0)</f>
        <v>Dato a diciembre 2017</v>
      </c>
      <c r="N49" s="689" t="s">
        <v>348</v>
      </c>
      <c r="O49" s="772">
        <f t="shared" si="0"/>
        <v>0.21624007060900222</v>
      </c>
    </row>
    <row r="50" spans="1:15" ht="15" x14ac:dyDescent="0.25">
      <c r="A50" s="483">
        <v>32</v>
      </c>
      <c r="C50" s="814"/>
      <c r="D50" s="756">
        <v>5011</v>
      </c>
      <c r="E50" s="680" t="s">
        <v>16</v>
      </c>
      <c r="F50" s="756" t="str">
        <f>+VLOOKUP(E50,'Base Indicadores 1'!$B$7:$AM$85,10,0)</f>
        <v>Tasa</v>
      </c>
      <c r="G50" s="756" t="str">
        <f>+VLOOKUP(E50,'Base Indicadores 1'!$B$7:$AL$85,8,0)</f>
        <v>Anual</v>
      </c>
      <c r="H50" s="681" t="str">
        <f>+VLOOKUP(E50,'Base Indicadores 1'!$B$7:$AL$85,9,0)</f>
        <v>Flujo</v>
      </c>
      <c r="I50" s="682">
        <f>+VLOOKUP(E50,'Base Indicadores 1'!$B$7:$AM$85,12,0)</f>
        <v>0.73309999999999997</v>
      </c>
      <c r="J50" s="685">
        <f>+VLOOKUP(E50,'Base Indicadores 1'!$B$7:$AM$85,11,0)</f>
        <v>0.78320000000000001</v>
      </c>
      <c r="K50" s="682">
        <f>+VLOOKUP(E50,'Base Indicadores 1'!$B$7:$AM$85,32,0)</f>
        <v>0.73160000000000003</v>
      </c>
      <c r="L50" s="683">
        <f>+VLOOKUP(E50,'Base Indicadores 1'!$B$7:$AM$85,35,0)</f>
        <v>0.93411644535240046</v>
      </c>
      <c r="M50" s="684" t="str">
        <f>VLOOKUP(E50,'Base Indicadores 1'!$B$7:$AM$85,36,0)</f>
        <v>Dato a diciembre 2017</v>
      </c>
      <c r="N50" s="689"/>
      <c r="O50" s="772">
        <f t="shared" si="0"/>
        <v>0.93411644535240046</v>
      </c>
    </row>
    <row r="51" spans="1:15" ht="24" customHeight="1" x14ac:dyDescent="0.25">
      <c r="A51" s="483">
        <v>33</v>
      </c>
      <c r="C51" s="814"/>
      <c r="D51" s="756">
        <v>4998</v>
      </c>
      <c r="E51" s="680" t="s">
        <v>23</v>
      </c>
      <c r="F51" s="756" t="str">
        <f>+VLOOKUP(E51,'Base Indicadores 1'!$B$7:$AM$85,10,0)</f>
        <v>Tasa</v>
      </c>
      <c r="G51" s="756" t="str">
        <f>+VLOOKUP(E51,'Base Indicadores 1'!$B$7:$AL$85,8,0)</f>
        <v>Anual</v>
      </c>
      <c r="H51" s="681" t="str">
        <f>+VLOOKUP(E51,'Base Indicadores 1'!$B$7:$AL$85,9,0)</f>
        <v>Capacidad</v>
      </c>
      <c r="I51" s="682">
        <f>+VLOOKUP(E51,'Base Indicadores 1'!$B$7:$AM$85,12,0)</f>
        <v>0.72760000000000002</v>
      </c>
      <c r="J51" s="685">
        <f>+VLOOKUP(E51,'Base Indicadores 1'!$B$7:$AM$85,11,0)</f>
        <v>0.77090000000000003</v>
      </c>
      <c r="K51" s="682">
        <f>+VLOOKUP(E51,'Base Indicadores 1'!$B$7:$AM$85,32,0)</f>
        <v>0.7772</v>
      </c>
      <c r="L51" s="683">
        <f>+VLOOKUP(E51,'Base Indicadores 1'!$B$7:$AM$85,35,0)</f>
        <v>1.1454965357967661</v>
      </c>
      <c r="M51" s="684" t="str">
        <f>VLOOKUP(E51,'Base Indicadores 1'!$B$7:$AM$85,36,0)</f>
        <v>Dato a diciembre 2017
Dato a 2018 sale en mayo 19</v>
      </c>
      <c r="N51" s="689" t="s">
        <v>347</v>
      </c>
      <c r="O51" s="772">
        <f t="shared" si="0"/>
        <v>1</v>
      </c>
    </row>
    <row r="52" spans="1:15" ht="24" customHeight="1" x14ac:dyDescent="0.25">
      <c r="A52" s="483">
        <v>34</v>
      </c>
      <c r="C52" s="814"/>
      <c r="D52" s="756">
        <v>5017</v>
      </c>
      <c r="E52" s="680" t="s">
        <v>12</v>
      </c>
      <c r="F52" s="756" t="str">
        <f>+VLOOKUP(E52,'Base Indicadores 1'!$B$7:$AM$85,10,0)</f>
        <v>Tasa</v>
      </c>
      <c r="G52" s="756" t="str">
        <f>+VLOOKUP(E52,'Base Indicadores 1'!$B$7:$AL$85,8,0)</f>
        <v>Anual</v>
      </c>
      <c r="H52" s="681" t="str">
        <f>+VLOOKUP(E52,'Base Indicadores 1'!$B$7:$AL$85,9,0)</f>
        <v>Capacidad</v>
      </c>
      <c r="I52" s="682">
        <f>+VLOOKUP(E52,'Base Indicadores 1'!$B$7:$AM$85,12,0)</f>
        <v>0.7147</v>
      </c>
      <c r="J52" s="685">
        <f>+VLOOKUP(E52,'Base Indicadores 1'!$B$7:$AM$85,11,0)</f>
        <v>0.75670000000000004</v>
      </c>
      <c r="K52" s="682">
        <f>+VLOOKUP(E52,'Base Indicadores 1'!$B$7:$AM$85,32,0)</f>
        <v>0.76570000000000005</v>
      </c>
      <c r="L52" s="683">
        <f>+VLOOKUP(E52,'Base Indicadores 1'!$B$7:$AM$85,35,0)</f>
        <v>1.2142857142857142</v>
      </c>
      <c r="M52" s="684" t="str">
        <f>VLOOKUP(E52,'Base Indicadores 1'!$B$7:$AM$85,36,0)</f>
        <v>Dato a diciembre 2017</v>
      </c>
      <c r="N52" s="689" t="s">
        <v>347</v>
      </c>
      <c r="O52" s="772">
        <f t="shared" si="0"/>
        <v>1</v>
      </c>
    </row>
    <row r="53" spans="1:15" ht="30" x14ac:dyDescent="0.25">
      <c r="A53" s="483">
        <v>35</v>
      </c>
      <c r="C53" s="814"/>
      <c r="D53" s="756">
        <v>5006</v>
      </c>
      <c r="E53" s="680" t="s">
        <v>19</v>
      </c>
      <c r="F53" s="756" t="str">
        <f>+VLOOKUP(E53,'Base Indicadores 1'!$B$7:$AM$85,10,0)</f>
        <v>Tasa</v>
      </c>
      <c r="G53" s="756" t="str">
        <f>+VLOOKUP(E53,'Base Indicadores 1'!$B$7:$AL$85,8,0)</f>
        <v>Anual</v>
      </c>
      <c r="H53" s="681" t="str">
        <f>+VLOOKUP(E53,'Base Indicadores 1'!$B$7:$AL$85,9,0)</f>
        <v>Flujo</v>
      </c>
      <c r="I53" s="682">
        <f>+VLOOKUP(E53,'Base Indicadores 1'!$B$7:$AM$85,12,0)</f>
        <v>0.83819999999999995</v>
      </c>
      <c r="J53" s="685">
        <f>+VLOOKUP(E53,'Base Indicadores 1'!$B$7:$AM$85,11,0)</f>
        <v>0.91039999999999999</v>
      </c>
      <c r="K53" s="682">
        <f>+VLOOKUP(E53,'Base Indicadores 1'!$B$7:$AM$85,32,0)</f>
        <v>0.82850000000000001</v>
      </c>
      <c r="L53" s="683">
        <f>+VLOOKUP(E53,'Base Indicadores 1'!$B$7:$AM$85,35,0)</f>
        <v>0.9100395430579965</v>
      </c>
      <c r="M53" s="684" t="str">
        <f>VLOOKUP(E53,'Base Indicadores 1'!$B$7:$AM$85,36,0)</f>
        <v>Dato a diciembre 2017</v>
      </c>
      <c r="N53" s="692"/>
      <c r="O53" s="772">
        <f t="shared" si="0"/>
        <v>0.9100395430579965</v>
      </c>
    </row>
    <row r="54" spans="1:15" ht="70.5" customHeight="1" x14ac:dyDescent="0.25">
      <c r="A54" s="483">
        <v>36</v>
      </c>
      <c r="C54" s="814"/>
      <c r="D54" s="756">
        <v>5002</v>
      </c>
      <c r="E54" s="680" t="s">
        <v>28</v>
      </c>
      <c r="F54" s="756" t="str">
        <f>+VLOOKUP(E54,'Base Indicadores 1'!$B$7:$AM$85,10,0)</f>
        <v>Tasa</v>
      </c>
      <c r="G54" s="756" t="str">
        <f>+VLOOKUP(E54,'Base Indicadores 1'!$B$7:$AL$85,8,0)</f>
        <v>Anual</v>
      </c>
      <c r="H54" s="681" t="str">
        <f>+VLOOKUP(E54,'Base Indicadores 1'!$B$7:$AL$85,9,0)</f>
        <v>Flujo</v>
      </c>
      <c r="I54" s="682">
        <f>+VLOOKUP(E54,'Base Indicadores 1'!$B$7:$AM$85,12,0)</f>
        <v>0.57479999999999998</v>
      </c>
      <c r="J54" s="685">
        <f>+VLOOKUP(E54,'Base Indicadores 1'!$B$7:$AM$85,11,0)</f>
        <v>0.57789999999999997</v>
      </c>
      <c r="K54" s="682">
        <f>+VLOOKUP(E54,'Base Indicadores 1'!$B$7:$AM$85,32,0)</f>
        <v>0.55569999999999997</v>
      </c>
      <c r="L54" s="683">
        <f>+VLOOKUP(E54,'Base Indicadores 1'!$B$7:$AM$85,35,0)</f>
        <v>0.96158504931649069</v>
      </c>
      <c r="M54" s="684" t="str">
        <f>VLOOKUP(E54,'Base Indicadores 1'!$B$7:$AM$85,36,0)</f>
        <v>Dato a diciembre 2017
Dato a 2018 sale en mayo 19</v>
      </c>
      <c r="N54" s="689"/>
      <c r="O54" s="772">
        <f t="shared" si="0"/>
        <v>0.96158504931649069</v>
      </c>
    </row>
    <row r="55" spans="1:15" ht="30" x14ac:dyDescent="0.25">
      <c r="A55" s="483">
        <v>37</v>
      </c>
      <c r="C55" s="814"/>
      <c r="D55" s="756">
        <v>4442</v>
      </c>
      <c r="E55" s="680" t="s">
        <v>5</v>
      </c>
      <c r="F55" s="756" t="str">
        <f>+VLOOKUP(E55,'Base Indicadores 1'!$B$7:$AM$85,10,0)</f>
        <v>Porcentaje</v>
      </c>
      <c r="G55" s="756" t="str">
        <f>+VLOOKUP(E55,'Base Indicadores 1'!$B$7:$AL$85,8,0)</f>
        <v>Anual</v>
      </c>
      <c r="H55" s="681" t="str">
        <f>+VLOOKUP(E55,'Base Indicadores 1'!$B$7:$AL$85,9,0)</f>
        <v>Reducción</v>
      </c>
      <c r="I55" s="682">
        <f>+VLOOKUP(E55,'Base Indicadores 1'!$B$7:$AM$85,12,0)</f>
        <v>3.1E-2</v>
      </c>
      <c r="J55" s="685">
        <f>+VLOOKUP(E55,'Base Indicadores 1'!$B$7:$AM$85,11,0)</f>
        <v>2.5000000000000001E-2</v>
      </c>
      <c r="K55" s="682">
        <f>+VLOOKUP(E55,'Base Indicadores 1'!$B$7:$AM$85,32,0)</f>
        <v>3.0800000000000001E-2</v>
      </c>
      <c r="L55" s="683">
        <f>+VLOOKUP(E55,'Base Indicadores 1'!$B$7:$AM$85,35,0)</f>
        <v>3.3333333333333139E-2</v>
      </c>
      <c r="M55" s="684" t="str">
        <f>VLOOKUP(E55,'Base Indicadores 1'!$B$7:$AM$85,36,0)</f>
        <v>Dato a diciembre 2017
Dato a 2018 sale en junio 19</v>
      </c>
      <c r="N55" s="689" t="s">
        <v>348</v>
      </c>
      <c r="O55" s="772">
        <f t="shared" si="0"/>
        <v>3.3333333333333139E-2</v>
      </c>
    </row>
    <row r="56" spans="1:15" ht="24" customHeight="1" x14ac:dyDescent="0.25">
      <c r="A56" s="483">
        <v>38</v>
      </c>
      <c r="C56" s="814"/>
      <c r="D56" s="756">
        <v>4439</v>
      </c>
      <c r="E56" s="680" t="s">
        <v>3</v>
      </c>
      <c r="F56" s="756" t="str">
        <f>+VLOOKUP(E56,'Base Indicadores 1'!$B$7:$AM$85,10,0)</f>
        <v>Tasa</v>
      </c>
      <c r="G56" s="756" t="str">
        <f>+VLOOKUP(E56,'Base Indicadores 1'!$B$7:$AL$85,8,0)</f>
        <v>Anual</v>
      </c>
      <c r="H56" s="681" t="str">
        <f>+VLOOKUP(E56,'Base Indicadores 1'!$B$7:$AL$85,9,0)</f>
        <v>Capacidad</v>
      </c>
      <c r="I56" s="682">
        <f>+VLOOKUP(E56,'Base Indicadores 1'!$B$7:$AM$85,12,0)</f>
        <v>0.372</v>
      </c>
      <c r="J56" s="685">
        <f>+VLOOKUP(E56,'Base Indicadores 1'!$B$7:$AM$85,11,0)</f>
        <v>0.45</v>
      </c>
      <c r="K56" s="682">
        <f>+VLOOKUP(E56,'Base Indicadores 1'!$B$7:$AM$85,32,0)</f>
        <v>0.45700000000000002</v>
      </c>
      <c r="L56" s="683">
        <f>+VLOOKUP(E56,'Base Indicadores 1'!$B$7:$AM$85,35,0)</f>
        <v>1.0897435897435899</v>
      </c>
      <c r="M56" s="684" t="str">
        <f>VLOOKUP(E56,'Base Indicadores 1'!$B$7:$AM$85,36,0)</f>
        <v>Dato a diciembre 2016
Pendiente dato 2017 (enero 19)</v>
      </c>
      <c r="N56" s="689" t="s">
        <v>347</v>
      </c>
      <c r="O56" s="772">
        <f t="shared" si="0"/>
        <v>1</v>
      </c>
    </row>
    <row r="57" spans="1:15" ht="36.75" customHeight="1" x14ac:dyDescent="0.25">
      <c r="A57" s="483">
        <v>39</v>
      </c>
      <c r="C57" s="814"/>
      <c r="D57" s="756">
        <v>5009</v>
      </c>
      <c r="E57" s="680" t="s">
        <v>21</v>
      </c>
      <c r="F57" s="756" t="str">
        <f>+VLOOKUP(E57,'Base Indicadores 1'!$B$7:$AM$85,10,0)</f>
        <v>Tasa</v>
      </c>
      <c r="G57" s="756" t="str">
        <f>+VLOOKUP(E57,'Base Indicadores 1'!$B$7:$AL$85,8,0)</f>
        <v>Anual</v>
      </c>
      <c r="H57" s="681" t="str">
        <f>+VLOOKUP(E57,'Base Indicadores 1'!$B$7:$AL$85,9,0)</f>
        <v>Capacidad</v>
      </c>
      <c r="I57" s="682">
        <f>+VLOOKUP(E57,'Base Indicadores 1'!$B$7:$AM$85,12,0)</f>
        <v>0.16930000000000001</v>
      </c>
      <c r="J57" s="685">
        <f>+VLOOKUP(E57,'Base Indicadores 1'!$B$7:$AM$85,11,0)</f>
        <v>0.189</v>
      </c>
      <c r="K57" s="682">
        <f>+VLOOKUP(E57,'Base Indicadores 1'!$B$7:$AM$85,32,0)</f>
        <v>0.30599999999999999</v>
      </c>
      <c r="L57" s="683">
        <f>+VLOOKUP(E57,'Base Indicadores 1'!$B$7:$AM$85,35,0)</f>
        <v>6.9390862944162448</v>
      </c>
      <c r="M57" s="684" t="str">
        <f>VLOOKUP(E57,'Base Indicadores 1'!$B$7:$AM$85,36,0)</f>
        <v>Dato a diciembre 2016</v>
      </c>
      <c r="N57" s="689" t="s">
        <v>347</v>
      </c>
      <c r="O57" s="772">
        <f t="shared" si="0"/>
        <v>1</v>
      </c>
    </row>
    <row r="58" spans="1:15" ht="43.5" customHeight="1" x14ac:dyDescent="0.25">
      <c r="A58" s="483">
        <v>40</v>
      </c>
      <c r="C58" s="814" t="s">
        <v>349</v>
      </c>
      <c r="D58" s="756">
        <v>5008</v>
      </c>
      <c r="E58" s="680" t="s">
        <v>20</v>
      </c>
      <c r="F58" s="756" t="str">
        <f>+VLOOKUP(E58,'Base Indicadores 1'!$B$7:$AM$85,10,0)</f>
        <v>Sedes educativas</v>
      </c>
      <c r="G58" s="756" t="str">
        <f>+VLOOKUP(E58,'Base Indicadores 1'!$B$7:$AL$85,8,0)</f>
        <v>Anual</v>
      </c>
      <c r="H58" s="681" t="str">
        <f>+VLOOKUP(E58,'Base Indicadores 1'!$B$7:$AL$85,9,0)</f>
        <v>Capacidad</v>
      </c>
      <c r="I58" s="688">
        <f>+VLOOKUP(E58,'Base Indicadores 1'!$B$7:$AM$85,12,0)</f>
        <v>0</v>
      </c>
      <c r="J58" s="694">
        <f>+VLOOKUP(E58,'Base Indicadores 1'!$B$7:$AM$85,11,0)</f>
        <v>100</v>
      </c>
      <c r="K58" s="686">
        <f>+VLOOKUP(E58,'Base Indicadores 1'!$B$7:$AM$85,32,0)</f>
        <v>144</v>
      </c>
      <c r="L58" s="683">
        <f>+VLOOKUP(E58,'Base Indicadores 1'!$B$7:$AM$85,35,0)</f>
        <v>1.44</v>
      </c>
      <c r="M58" s="684" t="str">
        <f>VLOOKUP(E58,'Base Indicadores 1'!$B$7:$AM$85,36,0)</f>
        <v>Dato a diciembre 2017</v>
      </c>
      <c r="N58" s="689" t="s">
        <v>347</v>
      </c>
      <c r="O58" s="772">
        <f t="shared" si="0"/>
        <v>1</v>
      </c>
    </row>
    <row r="59" spans="1:15" ht="52.5" customHeight="1" x14ac:dyDescent="0.25">
      <c r="A59" s="483">
        <v>41</v>
      </c>
      <c r="C59" s="814"/>
      <c r="D59" s="756">
        <v>4444</v>
      </c>
      <c r="E59" s="680" t="s">
        <v>7</v>
      </c>
      <c r="F59" s="756" t="str">
        <f>+VLOOKUP(E59,'Base Indicadores 1'!$B$7:$AM$85,10,0)</f>
        <v>Sedes rurales</v>
      </c>
      <c r="G59" s="756" t="str">
        <f>+VLOOKUP(E59,'Base Indicadores 1'!$B$7:$AL$85,8,0)</f>
        <v>Anual</v>
      </c>
      <c r="H59" s="681" t="str">
        <f>+VLOOKUP(E59,'Base Indicadores 1'!$B$7:$AL$85,9,0)</f>
        <v>Acumulado</v>
      </c>
      <c r="I59" s="686">
        <f>+VLOOKUP(E59,'Base Indicadores 1'!$B$7:$AM$85,12,0)</f>
        <v>168</v>
      </c>
      <c r="J59" s="694">
        <f>+VLOOKUP(E59,'Base Indicadores 1'!$B$7:$AM$85,11,0)</f>
        <v>1000</v>
      </c>
      <c r="K59" s="686">
        <f>+VLOOKUP(E59,'Base Indicadores 1'!$B$7:$AM$85,32,0)</f>
        <v>990</v>
      </c>
      <c r="L59" s="683">
        <f>+VLOOKUP(E59,'Base Indicadores 1'!$B$7:$AM$85,35,0)</f>
        <v>0.99</v>
      </c>
      <c r="M59" s="684" t="str">
        <f>VLOOKUP(E59,'Base Indicadores 1'!$B$7:$AM$85,36,0)</f>
        <v>Dato a diciembre 2018</v>
      </c>
      <c r="N59" s="689" t="s">
        <v>348</v>
      </c>
      <c r="O59" s="772">
        <f t="shared" si="0"/>
        <v>0.99</v>
      </c>
    </row>
    <row r="60" spans="1:15" ht="42" customHeight="1" x14ac:dyDescent="0.25">
      <c r="A60" s="483">
        <v>42</v>
      </c>
      <c r="C60" s="814"/>
      <c r="D60" s="756">
        <v>5157</v>
      </c>
      <c r="E60" s="680" t="s">
        <v>27</v>
      </c>
      <c r="F60" s="756" t="str">
        <f>+VLOOKUP(E60,'Base Indicadores 1'!$B$7:$AM$85,10,0)</f>
        <v>Aulas</v>
      </c>
      <c r="G60" s="756" t="str">
        <f>+VLOOKUP(E60,'Base Indicadores 1'!$B$7:$AL$85,8,0)</f>
        <v>Trimestral</v>
      </c>
      <c r="H60" s="681" t="str">
        <f>+VLOOKUP(E60,'Base Indicadores 1'!$B$7:$AL$85,9,0)</f>
        <v>Capacidad</v>
      </c>
      <c r="I60" s="688">
        <f>+VLOOKUP(E60,'Base Indicadores 1'!$B$7:$AM$85,12,0)</f>
        <v>0</v>
      </c>
      <c r="J60" s="694">
        <f>+VLOOKUP(E60,'Base Indicadores 1'!$B$7:$AM$85,11,0)</f>
        <v>30693</v>
      </c>
      <c r="K60" s="686">
        <f>+VLOOKUP(E60,'Base Indicadores 1'!$B$7:$AM$85,32,0)</f>
        <v>26661</v>
      </c>
      <c r="L60" s="683">
        <f>+VLOOKUP(E60,'Base Indicadores 1'!$B$7:$AM$85,35,0)</f>
        <v>0.86863454207799828</v>
      </c>
      <c r="M60" s="684" t="str">
        <f>VLOOKUP(E60,'Base Indicadores 1'!$B$7:$AM$85,36,0)</f>
        <v xml:space="preserve">Dato a diciembre:26.661
</v>
      </c>
      <c r="N60" s="689"/>
      <c r="O60" s="772">
        <f t="shared" si="0"/>
        <v>0.86863454207799828</v>
      </c>
    </row>
    <row r="61" spans="1:15" ht="60" x14ac:dyDescent="0.25">
      <c r="A61" s="483">
        <v>43</v>
      </c>
      <c r="C61" s="814" t="s">
        <v>350</v>
      </c>
      <c r="D61" s="756">
        <v>5467</v>
      </c>
      <c r="E61" s="680" t="s">
        <v>78</v>
      </c>
      <c r="F61" s="756" t="str">
        <f>+VLOOKUP(E61,'Base Indicadores 1'!$B$7:$AM$85,10,0)</f>
        <v>Porcentaje</v>
      </c>
      <c r="G61" s="756" t="str">
        <f>+VLOOKUP(E61,'Base Indicadores 1'!$B$7:$AL$85,8,0)</f>
        <v>Anual</v>
      </c>
      <c r="H61" s="681" t="str">
        <f>+VLOOKUP(E61,'Base Indicadores 1'!$B$7:$AL$85,9,0)</f>
        <v>Acumulado</v>
      </c>
      <c r="I61" s="682" t="str">
        <f>+VLOOKUP(E61,'Base Indicadores 1'!$B$7:$AM$85,12,0)</f>
        <v>SIN DATO</v>
      </c>
      <c r="J61" s="685">
        <f>+VLOOKUP(E61,'Base Indicadores 1'!$B$7:$AM$85,11,0)</f>
        <v>1</v>
      </c>
      <c r="K61" s="682">
        <f>+VLOOKUP(E61,'Base Indicadores 1'!$B$7:$AM$85,32,0)</f>
        <v>1</v>
      </c>
      <c r="L61" s="683">
        <f>+VLOOKUP(E61,'Base Indicadores 1'!$B$7:$AM$85,35,0)</f>
        <v>1</v>
      </c>
      <c r="M61" s="684" t="str">
        <f>VLOOKUP(E61,'Base Indicadores 1'!$B$7:$AM$85,36,0)</f>
        <v>Dato a diciembre 2017</v>
      </c>
      <c r="N61" s="689" t="s">
        <v>347</v>
      </c>
      <c r="O61" s="772">
        <f t="shared" si="0"/>
        <v>1</v>
      </c>
    </row>
    <row r="62" spans="1:15" ht="30" x14ac:dyDescent="0.25">
      <c r="A62" s="483">
        <v>44</v>
      </c>
      <c r="C62" s="814"/>
      <c r="D62" s="756">
        <v>4465</v>
      </c>
      <c r="E62" s="680" t="s">
        <v>10</v>
      </c>
      <c r="F62" s="756" t="str">
        <f>+VLOOKUP(E62,'Base Indicadores 1'!$B$7:$AM$85,10,0)</f>
        <v>Tasa</v>
      </c>
      <c r="G62" s="756" t="str">
        <f>+VLOOKUP(E62,'Base Indicadores 1'!$B$7:$AL$85,8,0)</f>
        <v>Anual</v>
      </c>
      <c r="H62" s="681" t="str">
        <f>+VLOOKUP(E62,'Base Indicadores 1'!$B$7:$AL$85,9,0)</f>
        <v>Reducción</v>
      </c>
      <c r="I62" s="682">
        <f>+VLOOKUP(E62,'Base Indicadores 1'!$B$7:$AM$85,12,0)</f>
        <v>5.8099999999999999E-2</v>
      </c>
      <c r="J62" s="685">
        <f>+VLOOKUP(E62,'Base Indicadores 1'!$B$7:$AM$85,11,0)</f>
        <v>5.1700000000000003E-2</v>
      </c>
      <c r="K62" s="682">
        <f>+VLOOKUP(E62,'Base Indicadores 1'!$B$7:$AM$85,32,0)</f>
        <v>5.2400000000000002E-2</v>
      </c>
      <c r="L62" s="683">
        <f>+VLOOKUP(E62,'Base Indicadores 1'!$B$7:$AM$85,35,0)</f>
        <v>0.890625</v>
      </c>
      <c r="M62" s="684" t="str">
        <f>VLOOKUP(E62,'Base Indicadores 1'!$B$7:$AM$85,36,0)</f>
        <v>Dato a diciembre 2017
Dato a 2018 sale en junio 19</v>
      </c>
      <c r="N62" s="689"/>
      <c r="O62" s="772">
        <f t="shared" si="0"/>
        <v>0.890625</v>
      </c>
    </row>
    <row r="63" spans="1:15" ht="54" customHeight="1" x14ac:dyDescent="0.25">
      <c r="A63" s="483">
        <v>45</v>
      </c>
      <c r="C63" s="814"/>
      <c r="D63" s="756">
        <v>5422</v>
      </c>
      <c r="E63" s="680" t="s">
        <v>79</v>
      </c>
      <c r="F63" s="756" t="str">
        <f>+VLOOKUP(E63,'Base Indicadores 1'!$B$7:$AM$85,10,0)</f>
        <v>Porcentaje</v>
      </c>
      <c r="G63" s="756" t="str">
        <f>+VLOOKUP(E63,'Base Indicadores 1'!$B$7:$AL$85,8,0)</f>
        <v>Semestral</v>
      </c>
      <c r="H63" s="681" t="str">
        <f>+VLOOKUP(E63,'Base Indicadores 1'!$B$7:$AL$85,9,0)</f>
        <v>Capacidad</v>
      </c>
      <c r="I63" s="682">
        <f>+VLOOKUP(E63,'Base Indicadores 1'!$B$7:$AM$85,12,0)</f>
        <v>0.72</v>
      </c>
      <c r="J63" s="685">
        <f>+VLOOKUP(E63,'Base Indicadores 1'!$B$7:$AM$85,11,0)</f>
        <v>0.84</v>
      </c>
      <c r="K63" s="682">
        <f>+VLOOKUP(E63,'Base Indicadores 1'!$B$7:$AM$85,32,0)</f>
        <v>0.82589999999999997</v>
      </c>
      <c r="L63" s="683">
        <f>+VLOOKUP(E63,'Base Indicadores 1'!$B$7:$AM$85,35,0)</f>
        <v>0.88249999999999995</v>
      </c>
      <c r="M63" s="684" t="str">
        <f>VLOOKUP(E63,'Base Indicadores 1'!$B$7:$AM$85,36,0)</f>
        <v>Dato a diciembre 2016</v>
      </c>
      <c r="N63" s="689"/>
      <c r="O63" s="772">
        <f t="shared" si="0"/>
        <v>0.88249999999999995</v>
      </c>
    </row>
    <row r="64" spans="1:15" ht="30" x14ac:dyDescent="0.25">
      <c r="A64" s="483">
        <v>46</v>
      </c>
      <c r="C64" s="814"/>
      <c r="D64" s="756">
        <v>4466</v>
      </c>
      <c r="E64" s="680" t="s">
        <v>11</v>
      </c>
      <c r="F64" s="756" t="str">
        <f>+VLOOKUP(E64,'Base Indicadores 1'!$B$7:$AM$85,10,0)</f>
        <v>Jovenes y adultos</v>
      </c>
      <c r="G64" s="756" t="str">
        <f>+VLOOKUP(E64,'Base Indicadores 1'!$B$7:$AL$85,8,0)</f>
        <v>Anual</v>
      </c>
      <c r="H64" s="681" t="str">
        <f>+VLOOKUP(E64,'Base Indicadores 1'!$B$7:$AL$85,9,0)</f>
        <v>Flujo</v>
      </c>
      <c r="I64" s="686">
        <f>+VLOOKUP(E64,'Base Indicadores 1'!$B$7:$AM$85,12,0)</f>
        <v>419082</v>
      </c>
      <c r="J64" s="694">
        <f>+VLOOKUP(E64,'Base Indicadores 1'!$B$7:$AM$85,11,0)</f>
        <v>357218</v>
      </c>
      <c r="K64" s="686">
        <f>+VLOOKUP(E64,'Base Indicadores 1'!$B$7:$AM$85,32,0)</f>
        <v>209370</v>
      </c>
      <c r="L64" s="683">
        <f>+VLOOKUP(E64,'Base Indicadores 1'!$B$7:$AM$85,35,0)</f>
        <v>0.58611268189172994</v>
      </c>
      <c r="M64" s="684" t="str">
        <f>VLOOKUP(E64,'Base Indicadores 1'!$B$7:$AM$85,36,0)</f>
        <v>Dato a noviembre 2018: 247.608; El dato 2018 se reporta en abril</v>
      </c>
      <c r="N64" s="689" t="s">
        <v>348</v>
      </c>
      <c r="O64" s="772">
        <f t="shared" si="0"/>
        <v>0.58611268189172994</v>
      </c>
    </row>
    <row r="65" spans="1:15" ht="60" customHeight="1" x14ac:dyDescent="0.25">
      <c r="A65" s="483">
        <v>47</v>
      </c>
      <c r="C65" s="814" t="s">
        <v>125</v>
      </c>
      <c r="D65" s="756">
        <v>4445</v>
      </c>
      <c r="E65" s="680" t="s">
        <v>8</v>
      </c>
      <c r="F65" s="756" t="str">
        <f>+VLOOKUP(E65,'Base Indicadores 1'!$B$7:$AM$85,10,0)</f>
        <v>Porcentaje</v>
      </c>
      <c r="G65" s="756" t="str">
        <f>+VLOOKUP(E65,'Base Indicadores 1'!$B$7:$AL$85,8,0)</f>
        <v>Anual</v>
      </c>
      <c r="H65" s="681" t="str">
        <f>+VLOOKUP(E65,'Base Indicadores 1'!$B$7:$AL$85,9,0)</f>
        <v>Flujo</v>
      </c>
      <c r="I65" s="682">
        <f>+VLOOKUP(E65,'Base Indicadores 1'!$B$7:$AM$85,12,0)</f>
        <v>0.371</v>
      </c>
      <c r="J65" s="685">
        <f>+VLOOKUP(E65,'Base Indicadores 1'!$B$7:$AM$85,11,0)</f>
        <v>0.45</v>
      </c>
      <c r="K65" s="682">
        <f>+VLOOKUP(E65,'Base Indicadores 1'!$B$7:$AM$85,32,0)</f>
        <v>0.32129999999999997</v>
      </c>
      <c r="L65" s="683">
        <f>+VLOOKUP(E65,'Base Indicadores 1'!$B$7:$AM$85,35,0)</f>
        <v>0.71399999999999997</v>
      </c>
      <c r="M65" s="684" t="str">
        <f>VLOOKUP(E65,'Base Indicadores 1'!$B$7:$AM$85,36,0)</f>
        <v>Dato a diciembre 2017
Dato a diciembre 2018 sale en junio 19</v>
      </c>
      <c r="N65" s="689" t="s">
        <v>348</v>
      </c>
      <c r="O65" s="772">
        <f t="shared" si="0"/>
        <v>0.71399999999999997</v>
      </c>
    </row>
    <row r="66" spans="1:15" ht="59.25" customHeight="1" x14ac:dyDescent="0.25">
      <c r="A66" s="483">
        <v>48</v>
      </c>
      <c r="C66" s="814"/>
      <c r="D66" s="756">
        <v>4446</v>
      </c>
      <c r="E66" s="680" t="s">
        <v>9</v>
      </c>
      <c r="F66" s="756" t="str">
        <f>+VLOOKUP(E66,'Base Indicadores 1'!$B$7:$AM$85,10,0)</f>
        <v>Porcentaje</v>
      </c>
      <c r="G66" s="756" t="str">
        <f>+VLOOKUP(E66,'Base Indicadores 1'!$B$7:$AL$85,8,0)</f>
        <v>Anual</v>
      </c>
      <c r="H66" s="681" t="str">
        <f>+VLOOKUP(E66,'Base Indicadores 1'!$B$7:$AL$85,9,0)</f>
        <v>Capacidad</v>
      </c>
      <c r="I66" s="682">
        <f>+VLOOKUP(E66,'Base Indicadores 1'!$B$7:$AM$85,12,0)</f>
        <v>0.35699999999999998</v>
      </c>
      <c r="J66" s="685">
        <f>+VLOOKUP(E66,'Base Indicadores 1'!$B$7:$AM$85,11,0)</f>
        <v>0.42</v>
      </c>
      <c r="K66" s="682">
        <f>+VLOOKUP(E66,'Base Indicadores 1'!$B$7:$AM$85,32,0)</f>
        <v>0.36399999999999999</v>
      </c>
      <c r="L66" s="683">
        <f>+VLOOKUP(E66,'Base Indicadores 1'!$B$7:$AM$85,35,0)</f>
        <v>0.8666666666666667</v>
      </c>
      <c r="M66" s="684" t="str">
        <f>VLOOKUP(E66,'Base Indicadores 1'!$B$7:$AM$85,36,0)</f>
        <v>Dato a diciembre 2017
Dato a diciembre 2018 sale en junio 19</v>
      </c>
      <c r="N66" s="689"/>
      <c r="O66" s="772">
        <f t="shared" si="0"/>
        <v>0.8666666666666667</v>
      </c>
    </row>
    <row r="67" spans="1:15" ht="30" x14ac:dyDescent="0.25">
      <c r="A67" s="483">
        <v>49</v>
      </c>
      <c r="C67" s="814" t="s">
        <v>137</v>
      </c>
      <c r="D67" s="756">
        <v>5238</v>
      </c>
      <c r="E67" s="680" t="s">
        <v>71</v>
      </c>
      <c r="F67" s="756" t="str">
        <f>+VLOOKUP(E67,'Base Indicadores 1'!$B$7:$AM$85,10,0)</f>
        <v>Personas</v>
      </c>
      <c r="G67" s="756" t="str">
        <f>+VLOOKUP(E67,'Base Indicadores 1'!$B$7:$AL$85,8,0)</f>
        <v>Anual</v>
      </c>
      <c r="H67" s="681" t="str">
        <f>+VLOOKUP(E67,'Base Indicadores 1'!$B$7:$AL$85,9,0)</f>
        <v>Acumulado</v>
      </c>
      <c r="I67" s="686">
        <f>+VLOOKUP(E67,'Base Indicadores 1'!$B$7:$AM$85,12,0)</f>
        <v>43429</v>
      </c>
      <c r="J67" s="694">
        <f>+VLOOKUP(E67,'Base Indicadores 1'!$B$7:$AM$85,11,0)</f>
        <v>46000</v>
      </c>
      <c r="K67" s="686">
        <f>+VLOOKUP(E67,'Base Indicadores 1'!$B$7:$AM$85,32,0)</f>
        <v>6560</v>
      </c>
      <c r="L67" s="683">
        <f>+VLOOKUP(E67,'Base Indicadores 1'!$B$7:$AM$85,35,0)</f>
        <v>0.14260869565217391</v>
      </c>
      <c r="M67" s="684" t="str">
        <f>VLOOKUP(E67,'Base Indicadores 1'!$B$7:$AM$85,36,0)</f>
        <v>Dato a diciembre 2017
PENDIENTE DATO A DICIEMBRE 2018</v>
      </c>
      <c r="N67" s="689" t="s">
        <v>348</v>
      </c>
      <c r="O67" s="772">
        <f t="shared" si="0"/>
        <v>0.14260869565217391</v>
      </c>
    </row>
    <row r="68" spans="1:15" ht="45" x14ac:dyDescent="0.25">
      <c r="A68" s="483">
        <v>50</v>
      </c>
      <c r="C68" s="814"/>
      <c r="D68" s="756">
        <v>5327</v>
      </c>
      <c r="E68" s="693" t="s">
        <v>307</v>
      </c>
      <c r="F68" s="756" t="str">
        <f>+VLOOKUP(E68,'Base Indicadores 1'!$B$7:$AM$85,10,0)</f>
        <v>Porcentaje</v>
      </c>
      <c r="G68" s="756" t="str">
        <f>+VLOOKUP(E68,'Base Indicadores 1'!$B$7:$AL$85,8,0)</f>
        <v>Trimestral</v>
      </c>
      <c r="H68" s="681" t="str">
        <f>+VLOOKUP(E68,'Base Indicadores 1'!$B$7:$AL$85,9,0)</f>
        <v>Stock</v>
      </c>
      <c r="I68" s="682">
        <f>+VLOOKUP(E68,'Base Indicadores 1'!$B$7:$AM$85,12,0)</f>
        <v>0</v>
      </c>
      <c r="J68" s="685">
        <f>+VLOOKUP(E68,'Base Indicadores 1'!$B$7:$AM$85,11,0)</f>
        <v>0.85</v>
      </c>
      <c r="K68" s="682">
        <f>+VLOOKUP(E68,'Base Indicadores 1'!$B$7:$AM$85,32,0)</f>
        <v>0.74</v>
      </c>
      <c r="L68" s="683">
        <f>+VLOOKUP(E68,'Base Indicadores 1'!$B$7:$AM$85,35,0)</f>
        <v>0.87058823529411766</v>
      </c>
      <c r="M68" s="684" t="str">
        <f>VLOOKUP(E68,'Base Indicadores 1'!$B$7:$AM$85,36,0)</f>
        <v>Dato a diciembre 2017</v>
      </c>
      <c r="N68" s="689"/>
      <c r="O68" s="773">
        <f t="shared" si="0"/>
        <v>0.87058823529411766</v>
      </c>
    </row>
    <row r="69" spans="1:15" ht="66" customHeight="1" x14ac:dyDescent="0.25">
      <c r="A69" s="483">
        <v>51</v>
      </c>
      <c r="C69" s="814"/>
      <c r="D69" s="756">
        <v>5328</v>
      </c>
      <c r="E69" s="693" t="s">
        <v>73</v>
      </c>
      <c r="F69" s="756" t="str">
        <f>+VLOOKUP(E69,'Base Indicadores 1'!$B$7:$AM$85,10,0)</f>
        <v>Porcentaje</v>
      </c>
      <c r="G69" s="756" t="str">
        <f>+VLOOKUP(E69,'Base Indicadores 1'!$B$7:$AL$85,8,0)</f>
        <v>Trimestral</v>
      </c>
      <c r="H69" s="681" t="str">
        <f>+VLOOKUP(E69,'Base Indicadores 1'!$B$7:$AL$85,9,0)</f>
        <v>Stock</v>
      </c>
      <c r="I69" s="682">
        <f>+VLOOKUP(E69,'Base Indicadores 1'!$B$7:$AM$85,12,0)</f>
        <v>0</v>
      </c>
      <c r="J69" s="685">
        <f>+VLOOKUP(E69,'Base Indicadores 1'!$B$7:$AM$85,11,0)</f>
        <v>1</v>
      </c>
      <c r="K69" s="682">
        <f>+VLOOKUP(E69,'Base Indicadores 1'!$B$7:$AM$85,32,0)</f>
        <v>0.24</v>
      </c>
      <c r="L69" s="683">
        <f>+VLOOKUP(E69,'Base Indicadores 1'!$B$7:$AM$85,35,0)</f>
        <v>0.24</v>
      </c>
      <c r="M69" s="684" t="str">
        <f>VLOOKUP(E69,'Base Indicadores 1'!$B$7:$AM$85,36,0)</f>
        <v>Dato a marzo 2018</v>
      </c>
      <c r="N69" s="689" t="s">
        <v>348</v>
      </c>
      <c r="O69" s="773">
        <f t="shared" si="0"/>
        <v>0.24</v>
      </c>
    </row>
    <row r="70" spans="1:15" ht="60" customHeight="1" x14ac:dyDescent="0.25">
      <c r="A70" s="483">
        <v>52</v>
      </c>
      <c r="C70" s="814"/>
      <c r="D70" s="756">
        <v>5334</v>
      </c>
      <c r="E70" s="693" t="s">
        <v>74</v>
      </c>
      <c r="F70" s="756" t="str">
        <f>+VLOOKUP(E70,'Base Indicadores 1'!$B$7:$AM$85,10,0)</f>
        <v>Porcentaje</v>
      </c>
      <c r="G70" s="756" t="str">
        <f>+VLOOKUP(E70,'Base Indicadores 1'!$B$7:$AL$85,8,0)</f>
        <v>Semestral</v>
      </c>
      <c r="H70" s="681" t="str">
        <f>+VLOOKUP(E70,'Base Indicadores 1'!$B$7:$AL$85,9,0)</f>
        <v>Stock</v>
      </c>
      <c r="I70" s="682" t="str">
        <f>+VLOOKUP(E70,'Base Indicadores 1'!$B$7:$AM$85,12,0)</f>
        <v>SIN DATO</v>
      </c>
      <c r="J70" s="685">
        <f>+VLOOKUP(E70,'Base Indicadores 1'!$B$7:$AM$85,11,0)</f>
        <v>1</v>
      </c>
      <c r="K70" s="682">
        <f>+VLOOKUP(E70,'Base Indicadores 1'!$B$7:$AM$85,32,0)</f>
        <v>0.24</v>
      </c>
      <c r="L70" s="683">
        <f>+VLOOKUP(E70,'Base Indicadores 1'!$B$7:$AM$85,35,0)</f>
        <v>0.24</v>
      </c>
      <c r="M70" s="684" t="str">
        <f>VLOOKUP(E70,'Base Indicadores 1'!$B$7:$AM$85,36,0)</f>
        <v>Dato a diciembre de 2016</v>
      </c>
      <c r="N70" s="689" t="s">
        <v>348</v>
      </c>
      <c r="O70" s="773">
        <f t="shared" si="0"/>
        <v>0.24</v>
      </c>
    </row>
    <row r="71" spans="1:15" ht="88.5" customHeight="1" x14ac:dyDescent="0.25">
      <c r="A71" s="483">
        <v>53</v>
      </c>
      <c r="C71" s="814" t="s">
        <v>136</v>
      </c>
      <c r="D71" s="756">
        <v>5393</v>
      </c>
      <c r="E71" s="680" t="s">
        <v>306</v>
      </c>
      <c r="F71" s="756" t="str">
        <f>+VLOOKUP(E71,'Base Indicadores 1'!$B$7:$AM$85,10,0)</f>
        <v>Porcentaje</v>
      </c>
      <c r="G71" s="756" t="str">
        <f>+VLOOKUP(E71,'Base Indicadores 1'!$B$7:$AL$85,8,0)</f>
        <v>Anual</v>
      </c>
      <c r="H71" s="681" t="str">
        <f>+VLOOKUP(E71,'Base Indicadores 1'!$B$7:$AL$85,9,0)</f>
        <v>Capacidad</v>
      </c>
      <c r="I71" s="682">
        <f>+VLOOKUP(E71,'Base Indicadores 1'!$B$7:$AM$85,12,0)</f>
        <v>0</v>
      </c>
      <c r="J71" s="685">
        <f>+VLOOKUP(E71,'Base Indicadores 1'!$B$7:$AM$85,11,0)</f>
        <v>1</v>
      </c>
      <c r="K71" s="682">
        <f>+VLOOKUP(E71,'Base Indicadores 1'!$B$7:$AM$85,32,0)</f>
        <v>0.6</v>
      </c>
      <c r="L71" s="683">
        <f>+VLOOKUP(E71,'Base Indicadores 1'!$B$7:$AM$85,35,0)</f>
        <v>0.6</v>
      </c>
      <c r="M71" s="684" t="str">
        <f>VLOOKUP(E71,'Base Indicadores 1'!$B$7:$AM$85,36,0)</f>
        <v>Dato a diciembre 2017</v>
      </c>
      <c r="N71" s="689" t="s">
        <v>348</v>
      </c>
      <c r="O71" s="772">
        <f t="shared" si="0"/>
        <v>0.6</v>
      </c>
    </row>
    <row r="72" spans="1:15" ht="57.75" customHeight="1" thickBot="1" x14ac:dyDescent="0.3">
      <c r="A72" s="483">
        <v>54</v>
      </c>
      <c r="C72" s="818"/>
      <c r="D72" s="774">
        <v>5391</v>
      </c>
      <c r="E72" s="775" t="s">
        <v>69</v>
      </c>
      <c r="F72" s="774" t="str">
        <f>+VLOOKUP(E72,'Base Indicadores 1'!$B$7:$AM$85,10,0)</f>
        <v>Porcentaje</v>
      </c>
      <c r="G72" s="774" t="str">
        <f>+VLOOKUP(E72,'Base Indicadores 1'!$B$7:$AL$85,8,0)</f>
        <v>Anual</v>
      </c>
      <c r="H72" s="776" t="str">
        <f>+VLOOKUP(E72,'Base Indicadores 1'!$B$7:$AL$85,9,0)</f>
        <v>Capacidad</v>
      </c>
      <c r="I72" s="777">
        <f>+VLOOKUP(E72,'Base Indicadores 1'!$B$7:$AM$85,12,0)</f>
        <v>0</v>
      </c>
      <c r="J72" s="778">
        <f>+VLOOKUP(E72,'Base Indicadores 1'!$B$7:$AM$85,11,0)</f>
        <v>1</v>
      </c>
      <c r="K72" s="777">
        <f>+VLOOKUP(E72,'Base Indicadores 1'!$B$7:$AM$85,32,0)</f>
        <v>0.2</v>
      </c>
      <c r="L72" s="766">
        <f>+VLOOKUP(E72,'Base Indicadores 1'!$B$7:$AM$85,35,0)</f>
        <v>0.2</v>
      </c>
      <c r="M72" s="779" t="str">
        <f>VLOOKUP(E72,'Base Indicadores 1'!$B$7:$AM$85,36,0)</f>
        <v>Dato a diciembre 2017</v>
      </c>
      <c r="N72" s="780" t="s">
        <v>348</v>
      </c>
      <c r="O72" s="781">
        <f t="shared" si="0"/>
        <v>0.2</v>
      </c>
    </row>
    <row r="73" spans="1:15" s="478" customFormat="1" ht="24" customHeight="1" thickBot="1" x14ac:dyDescent="0.3">
      <c r="A73" s="512"/>
      <c r="C73" s="479"/>
      <c r="D73" s="479"/>
      <c r="E73" s="479"/>
      <c r="F73" s="479"/>
      <c r="H73" s="514"/>
      <c r="I73" s="783"/>
      <c r="J73" s="783"/>
      <c r="K73" s="811" t="s">
        <v>327</v>
      </c>
      <c r="L73" s="812"/>
      <c r="M73" s="812"/>
      <c r="N73" s="813"/>
      <c r="O73" s="515">
        <f>+AVERAGE(O19:O36,O37:O67,O71:O72)</f>
        <v>0.76714737290980384</v>
      </c>
    </row>
    <row r="74" spans="1:15" s="478" customFormat="1" ht="24" customHeight="1" thickBot="1" x14ac:dyDescent="0.3">
      <c r="A74" s="512"/>
      <c r="C74" s="479"/>
      <c r="D74" s="479"/>
      <c r="E74" s="479"/>
      <c r="F74" s="479"/>
      <c r="G74" s="480"/>
      <c r="H74" s="481"/>
      <c r="I74" s="481"/>
      <c r="J74" s="786"/>
      <c r="K74" s="784"/>
      <c r="L74" s="482"/>
      <c r="M74" s="482"/>
      <c r="N74" s="513"/>
      <c r="O74" s="513"/>
    </row>
    <row r="75" spans="1:15" s="478" customFormat="1" ht="24" customHeight="1" thickBot="1" x14ac:dyDescent="0.3">
      <c r="A75" s="512"/>
      <c r="C75" s="511" t="s">
        <v>320</v>
      </c>
      <c r="D75" s="485" t="s">
        <v>99</v>
      </c>
      <c r="E75" s="546"/>
      <c r="F75" s="376"/>
      <c r="G75" s="476"/>
      <c r="H75" s="476"/>
      <c r="I75" s="483"/>
      <c r="J75" s="476"/>
      <c r="K75" s="782"/>
      <c r="L75" s="376"/>
      <c r="M75" s="377"/>
      <c r="N75" s="377"/>
      <c r="O75" s="513"/>
    </row>
    <row r="76" spans="1:15" s="478" customFormat="1" ht="24" customHeight="1" thickBot="1" x14ac:dyDescent="0.3">
      <c r="A76" s="512"/>
      <c r="C76" s="376"/>
      <c r="D76" s="376"/>
      <c r="E76" s="475"/>
      <c r="F76" s="475"/>
      <c r="G76" s="476"/>
      <c r="H76" s="476"/>
      <c r="I76" s="476"/>
      <c r="J76" s="476"/>
      <c r="K76" s="806" t="s">
        <v>345</v>
      </c>
      <c r="L76" s="807"/>
      <c r="M76" s="807"/>
      <c r="N76" s="807"/>
      <c r="O76" s="808"/>
    </row>
    <row r="77" spans="1:15" s="478" customFormat="1" ht="41.25" customHeight="1" thickBot="1" x14ac:dyDescent="0.3">
      <c r="A77" s="512"/>
      <c r="C77" s="487" t="s">
        <v>322</v>
      </c>
      <c r="D77" s="675" t="s">
        <v>357</v>
      </c>
      <c r="E77" s="488" t="s">
        <v>317</v>
      </c>
      <c r="F77" s="675" t="s">
        <v>318</v>
      </c>
      <c r="G77" s="677" t="s">
        <v>355</v>
      </c>
      <c r="H77" s="677" t="s">
        <v>319</v>
      </c>
      <c r="I77" s="678" t="s">
        <v>354</v>
      </c>
      <c r="J77" s="678" t="s">
        <v>324</v>
      </c>
      <c r="K77" s="487" t="s">
        <v>321</v>
      </c>
      <c r="L77" s="489" t="s">
        <v>325</v>
      </c>
      <c r="M77" s="488" t="s">
        <v>326</v>
      </c>
      <c r="N77" s="490" t="s">
        <v>85</v>
      </c>
      <c r="O77" s="490" t="s">
        <v>353</v>
      </c>
    </row>
    <row r="78" spans="1:15" ht="40.5" customHeight="1" x14ac:dyDescent="0.25">
      <c r="A78" s="483">
        <f>+A72+1</f>
        <v>55</v>
      </c>
      <c r="C78" s="535" t="s">
        <v>134</v>
      </c>
      <c r="D78" s="560">
        <v>4448</v>
      </c>
      <c r="E78" s="531" t="s">
        <v>48</v>
      </c>
      <c r="F78" s="531" t="str">
        <f>+VLOOKUP(E78,'Base Indicadores 1'!$B$7:$AM$85,10,0)</f>
        <v>Porcentaje</v>
      </c>
      <c r="G78" s="529" t="str">
        <f>+VLOOKUP(E78,'Base Indicadores 1'!$B$7:$AL$85,8,0)</f>
        <v>Trimestral</v>
      </c>
      <c r="H78" s="532" t="str">
        <f>+VLOOKUP(E78,'Base Indicadores 1'!$B$7:$AL$85,9,0)</f>
        <v>Capacidad</v>
      </c>
      <c r="I78" s="542">
        <f>+VLOOKUP(E78,'Base Indicadores 1'!$B$7:$AM$85,12,0)</f>
        <v>0.16500000000000001</v>
      </c>
      <c r="J78" s="761">
        <f>+VLOOKUP(E78,'Base Indicadores 1'!$B$7:$AM$85,11,0)</f>
        <v>0.9</v>
      </c>
      <c r="K78" s="762">
        <f>+VLOOKUP(E78,'Base Indicadores 1'!$B$7:$AM$85,32,0)</f>
        <v>0.6</v>
      </c>
      <c r="L78" s="763">
        <f>+VLOOKUP(E78,'Base Indicadores 1'!$B$7:$AM$85,35,0)</f>
        <v>0.59183673469387743</v>
      </c>
      <c r="M78" s="770" t="str">
        <f>VLOOKUP(E78,'Base Indicadores 1'!$B$7:$AM$85,36,0)</f>
        <v>Reporte a Diciembre 2018</v>
      </c>
      <c r="N78" s="536" t="s">
        <v>348</v>
      </c>
      <c r="O78" s="537">
        <f t="shared" ref="O78:O100" si="1">+IF(L78&gt;100%,100%,L78)</f>
        <v>0.59183673469387743</v>
      </c>
    </row>
    <row r="79" spans="1:15" ht="40.5" customHeight="1" x14ac:dyDescent="0.25">
      <c r="A79" s="483">
        <f>+A78+1</f>
        <v>56</v>
      </c>
      <c r="C79" s="819" t="s">
        <v>131</v>
      </c>
      <c r="D79" s="558">
        <v>4463</v>
      </c>
      <c r="E79" s="518" t="s">
        <v>60</v>
      </c>
      <c r="F79" s="543" t="str">
        <f>+VLOOKUP(E79,'Base Indicadores 1'!$B$7:$AM$85,10,0)</f>
        <v>Docentes</v>
      </c>
      <c r="G79" s="519" t="str">
        <f>+VLOOKUP(E79,'Base Indicadores 1'!$B$7:$AL$85,8,0)</f>
        <v>Anual</v>
      </c>
      <c r="H79" s="520" t="str">
        <f>+VLOOKUP(E79,'Base Indicadores 1'!$B$7:$AL$85,9,0)</f>
        <v>Capacidad</v>
      </c>
      <c r="I79" s="549">
        <f>+VLOOKUP(E79,'Base Indicadores 1'!$B$7:$AM$85,12,0)</f>
        <v>8893</v>
      </c>
      <c r="J79" s="694">
        <f>+VLOOKUP(E79,'Base Indicadores 1'!$B$7:$AM$85,11,0)</f>
        <v>11638</v>
      </c>
      <c r="K79" s="687">
        <f>+VLOOKUP(E79,'Base Indicadores 1'!$B$7:$AM$85,32,0)</f>
        <v>13415</v>
      </c>
      <c r="L79" s="683">
        <f>+VLOOKUP(E79,'Base Indicadores 1'!$B$7:$AM$85,35,0)</f>
        <v>1.6473588342440801</v>
      </c>
      <c r="M79" s="684" t="str">
        <f>VLOOKUP(E79,'Base Indicadores 1'!$B$7:$AM$85,36,0)</f>
        <v>Dato a diciembre 2017
Dato a 2018 sale en junio 19</v>
      </c>
      <c r="N79" s="521" t="s">
        <v>351</v>
      </c>
      <c r="O79" s="538">
        <f t="shared" si="1"/>
        <v>1</v>
      </c>
    </row>
    <row r="80" spans="1:15" ht="40.5" customHeight="1" x14ac:dyDescent="0.25">
      <c r="A80" s="483">
        <f t="shared" ref="A80:A100" si="2">+A79+1</f>
        <v>57</v>
      </c>
      <c r="C80" s="819"/>
      <c r="D80" s="558">
        <v>5003</v>
      </c>
      <c r="E80" s="518" t="s">
        <v>62</v>
      </c>
      <c r="F80" s="543" t="str">
        <f>+VLOOKUP(E80,'Base Indicadores 1'!$B$7:$AM$85,10,0)</f>
        <v>Graduados</v>
      </c>
      <c r="G80" s="519" t="str">
        <f>+VLOOKUP(E80,'Base Indicadores 1'!$B$7:$AL$85,8,0)</f>
        <v>Anual</v>
      </c>
      <c r="H80" s="520" t="str">
        <f>+VLOOKUP(E80,'Base Indicadores 1'!$B$7:$AL$85,9,0)</f>
        <v>Flujo</v>
      </c>
      <c r="I80" s="549">
        <f>+VLOOKUP(E80,'Base Indicadores 1'!$B$7:$AM$85,12,0)</f>
        <v>82723</v>
      </c>
      <c r="J80" s="694">
        <f>+VLOOKUP(E80,'Base Indicadores 1'!$B$7:$AM$85,11,0)</f>
        <v>40000</v>
      </c>
      <c r="K80" s="687">
        <f>+VLOOKUP(E80,'Base Indicadores 1'!$B$7:$AM$85,32,0)</f>
        <v>87229</v>
      </c>
      <c r="L80" s="683">
        <f>+VLOOKUP(E80,'Base Indicadores 1'!$B$7:$AM$85,35,0)</f>
        <v>2.1807249999999998</v>
      </c>
      <c r="M80" s="684" t="str">
        <f>VLOOKUP(E80,'Base Indicadores 1'!$B$7:$AM$85,36,0)</f>
        <v>Dato a diciembre 2017</v>
      </c>
      <c r="N80" s="521"/>
      <c r="O80" s="538">
        <f t="shared" si="1"/>
        <v>1</v>
      </c>
    </row>
    <row r="81" spans="1:15" ht="79.5" customHeight="1" x14ac:dyDescent="0.25">
      <c r="A81" s="483">
        <f t="shared" si="2"/>
        <v>58</v>
      </c>
      <c r="C81" s="819"/>
      <c r="D81" s="558">
        <v>5161</v>
      </c>
      <c r="E81" s="518" t="s">
        <v>66</v>
      </c>
      <c r="F81" s="543" t="str">
        <f>+VLOOKUP(E81,'Base Indicadores 1'!$B$7:$AM$85,10,0)</f>
        <v>Tasa</v>
      </c>
      <c r="G81" s="519" t="str">
        <f>+VLOOKUP(E81,'Base Indicadores 1'!$B$7:$AL$85,8,0)</f>
        <v>Anual</v>
      </c>
      <c r="H81" s="520" t="str">
        <f>+VLOOKUP(E81,'Base Indicadores 1'!$B$7:$AL$85,9,0)</f>
        <v>Stock</v>
      </c>
      <c r="I81" s="548">
        <f>+VLOOKUP(E81,'Base Indicadores 1'!$B$7:$AM$85,12,0)</f>
        <v>0</v>
      </c>
      <c r="J81" s="685">
        <f>+VLOOKUP(E81,'Base Indicadores 1'!$B$7:$AM$85,11,0)</f>
        <v>0.05</v>
      </c>
      <c r="K81" s="682">
        <f>+VLOOKUP(E81,'Base Indicadores 1'!$B$7:$AM$85,32,0)</f>
        <v>2.4299999999999999E-2</v>
      </c>
      <c r="L81" s="683">
        <f>+VLOOKUP(E81,'Base Indicadores 1'!$B$7:$AM$85,35,0)</f>
        <v>1</v>
      </c>
      <c r="M81" s="684" t="str">
        <f>VLOOKUP(E81,'Base Indicadores 1'!$B$7:$AM$85,36,0)</f>
        <v>Dato a diciembre 2017
Dato a 2018 sale en 2020</v>
      </c>
      <c r="N81" s="521" t="s">
        <v>351</v>
      </c>
      <c r="O81" s="538">
        <f t="shared" si="1"/>
        <v>1</v>
      </c>
    </row>
    <row r="82" spans="1:15" ht="40.5" customHeight="1" x14ac:dyDescent="0.25">
      <c r="A82" s="483">
        <f t="shared" si="2"/>
        <v>59</v>
      </c>
      <c r="C82" s="819"/>
      <c r="D82" s="558">
        <v>5159</v>
      </c>
      <c r="E82" s="518" t="s">
        <v>65</v>
      </c>
      <c r="F82" s="543" t="str">
        <f>+VLOOKUP(E82,'Base Indicadores 1'!$B$7:$AM$85,10,0)</f>
        <v>Estudiantes</v>
      </c>
      <c r="G82" s="519" t="str">
        <f>+VLOOKUP(E82,'Base Indicadores 1'!$B$7:$AL$85,8,0)</f>
        <v>Anual</v>
      </c>
      <c r="H82" s="520" t="str">
        <f>+VLOOKUP(E82,'Base Indicadores 1'!$B$7:$AL$85,9,0)</f>
        <v>Acumulado</v>
      </c>
      <c r="I82" s="549">
        <f>+VLOOKUP(E82,'Base Indicadores 1'!$B$7:$AM$85,12,0)</f>
        <v>0</v>
      </c>
      <c r="J82" s="694">
        <f>+VLOOKUP(E82,'Base Indicadores 1'!$B$7:$AM$85,11,0)</f>
        <v>40000</v>
      </c>
      <c r="K82" s="687">
        <f>+VLOOKUP(E82,'Base Indicadores 1'!$B$7:$AM$85,32,0)</f>
        <v>39995</v>
      </c>
      <c r="L82" s="683">
        <f>+VLOOKUP(E82,'Base Indicadores 1'!$B$7:$AM$85,35,0)</f>
        <v>0.99987499999999996</v>
      </c>
      <c r="M82" s="684" t="str">
        <f>VLOOKUP(E82,'Base Indicadores 1'!$B$7:$AM$85,36,0)</f>
        <v xml:space="preserve">dato a diciembre 2018: 39.995 </v>
      </c>
      <c r="N82" s="521"/>
      <c r="O82" s="538">
        <f t="shared" si="1"/>
        <v>0.99987499999999996</v>
      </c>
    </row>
    <row r="83" spans="1:15" ht="40.5" customHeight="1" x14ac:dyDescent="0.25">
      <c r="A83" s="483">
        <f t="shared" si="2"/>
        <v>60</v>
      </c>
      <c r="C83" s="819"/>
      <c r="D83" s="558">
        <v>4464</v>
      </c>
      <c r="E83" s="518" t="s">
        <v>61</v>
      </c>
      <c r="F83" s="543" t="str">
        <f>+VLOOKUP(E83,'Base Indicadores 1'!$B$7:$AM$85,10,0)</f>
        <v>Puestos</v>
      </c>
      <c r="G83" s="519" t="str">
        <f>+VLOOKUP(E83,'Base Indicadores 1'!$B$7:$AL$85,8,0)</f>
        <v>Anual</v>
      </c>
      <c r="H83" s="520" t="str">
        <f>+VLOOKUP(E83,'Base Indicadores 1'!$B$7:$AL$85,9,0)</f>
        <v>Capacidad</v>
      </c>
      <c r="I83" s="549">
        <f>+VLOOKUP(E83,'Base Indicadores 1'!$B$7:$AM$85,12,0)</f>
        <v>0</v>
      </c>
      <c r="J83" s="694">
        <f>+VLOOKUP(E83,'Base Indicadores 1'!$B$7:$AM$85,11,0)</f>
        <v>25</v>
      </c>
      <c r="K83" s="687">
        <f>+VLOOKUP(E83,'Base Indicadores 1'!$B$7:$AM$85,32,0)</f>
        <v>24</v>
      </c>
      <c r="L83" s="683">
        <f>+VLOOKUP(E83,'Base Indicadores 1'!$B$7:$AM$85,35,0)</f>
        <v>0.96</v>
      </c>
      <c r="M83" s="684" t="str">
        <f>VLOOKUP(E83,'Base Indicadores 1'!$B$7:$AM$85,36,0)</f>
        <v xml:space="preserve">Dato a diciembre 2016
Pendiente dato 2017 y 2018 </v>
      </c>
      <c r="N83" s="521"/>
      <c r="O83" s="538">
        <f t="shared" si="1"/>
        <v>0.96</v>
      </c>
    </row>
    <row r="84" spans="1:15" ht="40.5" customHeight="1" x14ac:dyDescent="0.25">
      <c r="A84" s="483">
        <f t="shared" si="2"/>
        <v>61</v>
      </c>
      <c r="C84" s="819"/>
      <c r="D84" s="558">
        <v>4450</v>
      </c>
      <c r="E84" s="518" t="s">
        <v>50</v>
      </c>
      <c r="F84" s="543" t="str">
        <f>+VLOOKUP(E84,'Base Indicadores 1'!$B$7:$AM$85,10,0)</f>
        <v>Porcentaje</v>
      </c>
      <c r="G84" s="519" t="str">
        <f>+VLOOKUP(E84,'Base Indicadores 1'!$B$7:$AL$85,8,0)</f>
        <v>Anual</v>
      </c>
      <c r="H84" s="520" t="str">
        <f>+VLOOKUP(E84,'Base Indicadores 1'!$B$7:$AL$85,9,0)</f>
        <v>Flujo</v>
      </c>
      <c r="I84" s="548">
        <f>+VLOOKUP(E84,'Base Indicadores 1'!$B$7:$AM$85,12,0)</f>
        <v>9.2999999999999999E-2</v>
      </c>
      <c r="J84" s="685">
        <f>+VLOOKUP(E84,'Base Indicadores 1'!$B$7:$AM$85,11,0)</f>
        <v>0.14699999999999999</v>
      </c>
      <c r="K84" s="682">
        <f>+VLOOKUP(E84,'Base Indicadores 1'!$B$7:$AM$85,32,0)</f>
        <v>0.20649999999999999</v>
      </c>
      <c r="L84" s="683">
        <f>+VLOOKUP(E84,'Base Indicadores 1'!$B$7:$AM$85,35,0)</f>
        <v>1.4047619047619047</v>
      </c>
      <c r="M84" s="684" t="str">
        <f>VLOOKUP(E84,'Base Indicadores 1'!$B$7:$AM$85,36,0)</f>
        <v>Dato a diciembre 2017
Dato a 2018 sale en junio 19</v>
      </c>
      <c r="N84" s="521"/>
      <c r="O84" s="538">
        <f t="shared" si="1"/>
        <v>1</v>
      </c>
    </row>
    <row r="85" spans="1:15" ht="40.5" customHeight="1" x14ac:dyDescent="0.25">
      <c r="A85" s="483">
        <f t="shared" si="2"/>
        <v>62</v>
      </c>
      <c r="C85" s="819"/>
      <c r="D85" s="558">
        <v>4496</v>
      </c>
      <c r="E85" s="518" t="s">
        <v>45</v>
      </c>
      <c r="F85" s="543" t="str">
        <f>+VLOOKUP(E85,'Base Indicadores 1'!$B$7:$AM$85,10,0)</f>
        <v>Tasa</v>
      </c>
      <c r="G85" s="519" t="str">
        <f>+VLOOKUP(E85,'Base Indicadores 1'!$B$7:$AL$85,8,0)</f>
        <v>Anual</v>
      </c>
      <c r="H85" s="520" t="str">
        <f>+VLOOKUP(E85,'Base Indicadores 1'!$B$7:$AL$85,9,0)</f>
        <v>Capacidad</v>
      </c>
      <c r="I85" s="548">
        <f>+VLOOKUP(E85,'Base Indicadores 1'!$B$7:$AM$85,12,0)</f>
        <v>0.14899999999999999</v>
      </c>
      <c r="J85" s="685">
        <f>+VLOOKUP(E85,'Base Indicadores 1'!$B$7:$AM$85,11,0)</f>
        <v>0.2</v>
      </c>
      <c r="K85" s="682">
        <f>+VLOOKUP(E85,'Base Indicadores 1'!$B$7:$AM$85,32,0)</f>
        <v>0.191</v>
      </c>
      <c r="L85" s="683">
        <f>+VLOOKUP(E85,'Base Indicadores 1'!$B$7:$AM$85,35,0)</f>
        <v>0.82352941176470573</v>
      </c>
      <c r="M85" s="684" t="str">
        <f>VLOOKUP(E85,'Base Indicadores 1'!$B$7:$AM$85,36,0)</f>
        <v>Dato a diciembre 2017</v>
      </c>
      <c r="N85" s="521"/>
      <c r="O85" s="538">
        <f t="shared" si="1"/>
        <v>0.82352941176470573</v>
      </c>
    </row>
    <row r="86" spans="1:15" ht="40.5" customHeight="1" x14ac:dyDescent="0.25">
      <c r="A86" s="483">
        <f t="shared" si="2"/>
        <v>63</v>
      </c>
      <c r="C86" s="819"/>
      <c r="D86" s="558">
        <v>4457</v>
      </c>
      <c r="E86" s="518" t="s">
        <v>56</v>
      </c>
      <c r="F86" s="543" t="str">
        <f>+VLOOKUP(E86,'Base Indicadores 1'!$B$7:$AM$85,10,0)</f>
        <v>Departamentos</v>
      </c>
      <c r="G86" s="519" t="str">
        <f>+VLOOKUP(E86,'Base Indicadores 1'!$B$7:$AL$85,8,0)</f>
        <v>Anual</v>
      </c>
      <c r="H86" s="520" t="str">
        <f>+VLOOKUP(E86,'Base Indicadores 1'!$B$7:$AL$85,9,0)</f>
        <v>Flujo</v>
      </c>
      <c r="I86" s="549">
        <f>+VLOOKUP(E86,'Base Indicadores 1'!$B$7:$AM$85,12,0)</f>
        <v>25</v>
      </c>
      <c r="J86" s="694">
        <f>+VLOOKUP(E86,'Base Indicadores 1'!$B$7:$AM$85,11,0)</f>
        <v>33</v>
      </c>
      <c r="K86" s="687">
        <f>+VLOOKUP(E86,'Base Indicadores 1'!$B$7:$AM$85,32,0)</f>
        <v>26</v>
      </c>
      <c r="L86" s="683">
        <f>+VLOOKUP(E86,'Base Indicadores 1'!$B$7:$AM$85,35,0)</f>
        <v>0.78787878787878785</v>
      </c>
      <c r="M86" s="684" t="str">
        <f>VLOOKUP(E86,'Base Indicadores 1'!$B$7:$AM$85,36,0)</f>
        <v>Dato a diciembre 2017
Dato a 2018 sale en junio 19</v>
      </c>
      <c r="N86" s="521" t="s">
        <v>348</v>
      </c>
      <c r="O86" s="538">
        <f t="shared" si="1"/>
        <v>0.78787878787878785</v>
      </c>
    </row>
    <row r="87" spans="1:15" ht="40.5" customHeight="1" x14ac:dyDescent="0.25">
      <c r="A87" s="483">
        <f t="shared" si="2"/>
        <v>64</v>
      </c>
      <c r="C87" s="819"/>
      <c r="D87" s="558">
        <v>5004</v>
      </c>
      <c r="E87" s="518" t="s">
        <v>63</v>
      </c>
      <c r="F87" s="543" t="str">
        <f>+VLOOKUP(E87,'Base Indicadores 1'!$B$7:$AM$85,10,0)</f>
        <v>Cupos</v>
      </c>
      <c r="G87" s="519" t="str">
        <f>+VLOOKUP(E87,'Base Indicadores 1'!$B$7:$AL$85,8,0)</f>
        <v>Anual</v>
      </c>
      <c r="H87" s="520" t="str">
        <f>+VLOOKUP(E87,'Base Indicadores 1'!$B$7:$AL$85,9,0)</f>
        <v>Flujo</v>
      </c>
      <c r="I87" s="549">
        <f>+VLOOKUP(E87,'Base Indicadores 1'!$B$7:$AM$85,12,0)</f>
        <v>14623</v>
      </c>
      <c r="J87" s="694">
        <f>+VLOOKUP(E87,'Base Indicadores 1'!$B$7:$AM$85,11,0)</f>
        <v>7000</v>
      </c>
      <c r="K87" s="687">
        <f>+VLOOKUP(E87,'Base Indicadores 1'!$B$7:$AM$85,32,0)</f>
        <v>3244</v>
      </c>
      <c r="L87" s="683">
        <f>+VLOOKUP(E87,'Base Indicadores 1'!$B$7:$AM$85,35,0)</f>
        <v>0.46342857142857141</v>
      </c>
      <c r="M87" s="684" t="str">
        <f>VLOOKUP(E87,'Base Indicadores 1'!$B$7:$AM$85,36,0)</f>
        <v>Dato a diciembre 2017</v>
      </c>
      <c r="N87" s="521" t="s">
        <v>348</v>
      </c>
      <c r="O87" s="538">
        <f t="shared" si="1"/>
        <v>0.46342857142857141</v>
      </c>
    </row>
    <row r="88" spans="1:15" ht="40.5" customHeight="1" x14ac:dyDescent="0.25">
      <c r="A88" s="483">
        <f t="shared" si="2"/>
        <v>65</v>
      </c>
      <c r="C88" s="819"/>
      <c r="D88" s="558">
        <v>4453</v>
      </c>
      <c r="E88" s="518" t="s">
        <v>51</v>
      </c>
      <c r="F88" s="543" t="str">
        <f>+VLOOKUP(E88,'Base Indicadores 1'!$B$7:$AM$85,10,0)</f>
        <v>Porcentaje</v>
      </c>
      <c r="G88" s="519" t="str">
        <f>+VLOOKUP(E88,'Base Indicadores 1'!$B$7:$AL$85,8,0)</f>
        <v>Anual</v>
      </c>
      <c r="H88" s="520" t="str">
        <f>+VLOOKUP(E88,'Base Indicadores 1'!$B$7:$AL$85,9,0)</f>
        <v>Flujo</v>
      </c>
      <c r="I88" s="548">
        <f>+VLOOKUP(E88,'Base Indicadores 1'!$B$7:$AM$85,12,0)</f>
        <v>0.1</v>
      </c>
      <c r="J88" s="685">
        <f>+VLOOKUP(E88,'Base Indicadores 1'!$B$7:$AM$85,11,0)</f>
        <v>0.15</v>
      </c>
      <c r="K88" s="682">
        <f>+VLOOKUP(E88,'Base Indicadores 1'!$B$7:$AM$85,32,0)</f>
        <v>9.0999999999999998E-2</v>
      </c>
      <c r="L88" s="683">
        <f>+VLOOKUP(E88,'Base Indicadores 1'!$B$7:$AM$85,35,0)</f>
        <v>0.60666666666666669</v>
      </c>
      <c r="M88" s="684" t="str">
        <f>VLOOKUP(E88,'Base Indicadores 1'!$B$7:$AM$85,36,0)</f>
        <v>Dato a diciembre 2017
Dato a 2018 sale en abril-19</v>
      </c>
      <c r="N88" s="521" t="s">
        <v>348</v>
      </c>
      <c r="O88" s="538">
        <f t="shared" si="1"/>
        <v>0.60666666666666669</v>
      </c>
    </row>
    <row r="89" spans="1:15" ht="40.5" customHeight="1" x14ac:dyDescent="0.25">
      <c r="A89" s="483">
        <f t="shared" si="2"/>
        <v>66</v>
      </c>
      <c r="C89" s="819"/>
      <c r="D89" s="558">
        <v>4454</v>
      </c>
      <c r="E89" s="518" t="s">
        <v>52</v>
      </c>
      <c r="F89" s="543" t="str">
        <f>+VLOOKUP(E89,'Base Indicadores 1'!$B$7:$AM$85,10,0)</f>
        <v>Cupos</v>
      </c>
      <c r="G89" s="519" t="str">
        <f>+VLOOKUP(E89,'Base Indicadores 1'!$B$7:$AL$85,8,0)</f>
        <v>Anual</v>
      </c>
      <c r="H89" s="520" t="str">
        <f>+VLOOKUP(E89,'Base Indicadores 1'!$B$7:$AL$85,9,0)</f>
        <v>Flujo</v>
      </c>
      <c r="I89" s="549">
        <f>+VLOOKUP(E89,'Base Indicadores 1'!$B$7:$AM$85,12,0)</f>
        <v>168664</v>
      </c>
      <c r="J89" s="694">
        <f>+VLOOKUP(E89,'Base Indicadores 1'!$B$7:$AM$85,11,0)</f>
        <v>150000</v>
      </c>
      <c r="K89" s="687">
        <f>+VLOOKUP(E89,'Base Indicadores 1'!$B$7:$AM$85,32,0)</f>
        <v>20855</v>
      </c>
      <c r="L89" s="683">
        <f>+VLOOKUP(E89,'Base Indicadores 1'!$B$7:$AM$85,35,0)</f>
        <v>0.13903333333333334</v>
      </c>
      <c r="M89" s="684" t="str">
        <f>VLOOKUP(E89,'Base Indicadores 1'!$B$7:$AM$85,36,0)</f>
        <v>Dato a diciembre 2017
Dato a 2018 sale en junio 19</v>
      </c>
      <c r="N89" s="521" t="s">
        <v>348</v>
      </c>
      <c r="O89" s="538">
        <f t="shared" si="1"/>
        <v>0.13903333333333334</v>
      </c>
    </row>
    <row r="90" spans="1:15" ht="40.5" customHeight="1" x14ac:dyDescent="0.25">
      <c r="A90" s="483">
        <f t="shared" si="2"/>
        <v>67</v>
      </c>
      <c r="C90" s="819"/>
      <c r="D90" s="558">
        <v>4458</v>
      </c>
      <c r="E90" s="518" t="s">
        <v>55</v>
      </c>
      <c r="F90" s="543" t="str">
        <f>+VLOOKUP(E90,'Base Indicadores 1'!$B$7:$AM$85,10,0)</f>
        <v>Cupos</v>
      </c>
      <c r="G90" s="519" t="str">
        <f>+VLOOKUP(E90,'Base Indicadores 1'!$B$7:$AL$85,8,0)</f>
        <v>Anual</v>
      </c>
      <c r="H90" s="520" t="str">
        <f>+VLOOKUP(E90,'Base Indicadores 1'!$B$7:$AL$85,9,0)</f>
        <v>Flujo</v>
      </c>
      <c r="I90" s="549">
        <f>+VLOOKUP(E90,'Base Indicadores 1'!$B$7:$AM$85,12,0)</f>
        <v>546631</v>
      </c>
      <c r="J90" s="694">
        <f>+VLOOKUP(E90,'Base Indicadores 1'!$B$7:$AM$85,11,0)</f>
        <v>400000</v>
      </c>
      <c r="K90" s="687">
        <f>+VLOOKUP(E90,'Base Indicadores 1'!$B$7:$AM$85,32,0)</f>
        <v>225662</v>
      </c>
      <c r="L90" s="683">
        <f>+VLOOKUP(E90,'Base Indicadores 1'!$B$7:$AM$85,35,0)</f>
        <v>0.56415499999999996</v>
      </c>
      <c r="M90" s="684" t="str">
        <f>VLOOKUP(E90,'Base Indicadores 1'!$B$7:$AM$85,36,0)</f>
        <v>Dato a diciembre 2017
Dato a 2018 sale en junio 19</v>
      </c>
      <c r="N90" s="521" t="s">
        <v>348</v>
      </c>
      <c r="O90" s="538">
        <f t="shared" si="1"/>
        <v>0.56415499999999996</v>
      </c>
    </row>
    <row r="91" spans="1:15" ht="40.5" customHeight="1" x14ac:dyDescent="0.25">
      <c r="A91" s="483">
        <f t="shared" si="2"/>
        <v>68</v>
      </c>
      <c r="C91" s="819"/>
      <c r="D91" s="558">
        <v>4456</v>
      </c>
      <c r="E91" s="518" t="s">
        <v>54</v>
      </c>
      <c r="F91" s="543" t="str">
        <f>+VLOOKUP(E91,'Base Indicadores 1'!$B$7:$AM$85,10,0)</f>
        <v>Tasa</v>
      </c>
      <c r="G91" s="519" t="str">
        <f>+VLOOKUP(E91,'Base Indicadores 1'!$B$7:$AL$85,8,0)</f>
        <v>Anual</v>
      </c>
      <c r="H91" s="520" t="str">
        <f>+VLOOKUP(E91,'Base Indicadores 1'!$B$7:$AL$85,9,0)</f>
        <v>Capacidad</v>
      </c>
      <c r="I91" s="548">
        <f>+VLOOKUP(E91,'Base Indicadores 1'!$B$7:$AM$85,12,0)</f>
        <v>0.47799999999999998</v>
      </c>
      <c r="J91" s="685">
        <f>+VLOOKUP(E91,'Base Indicadores 1'!$B$7:$AM$85,11,0)</f>
        <v>0.56999999999999995</v>
      </c>
      <c r="K91" s="682">
        <f>+VLOOKUP(E91,'Base Indicadores 1'!$B$7:$AM$85,32,0)</f>
        <v>0.52800000000000002</v>
      </c>
      <c r="L91" s="683">
        <f>+VLOOKUP(E91,'Base Indicadores 1'!$B$7:$AM$85,35,0)</f>
        <v>0.54347826086956585</v>
      </c>
      <c r="M91" s="684" t="str">
        <f>VLOOKUP(E91,'Base Indicadores 1'!$B$7:$AM$85,36,0)</f>
        <v>Dato a diciembre 2017
Dato a 2018 sale en junio 19</v>
      </c>
      <c r="N91" s="521" t="s">
        <v>348</v>
      </c>
      <c r="O91" s="538">
        <f t="shared" si="1"/>
        <v>0.54347826086956585</v>
      </c>
    </row>
    <row r="92" spans="1:15" ht="40.5" customHeight="1" x14ac:dyDescent="0.25">
      <c r="A92" s="483">
        <f t="shared" si="2"/>
        <v>69</v>
      </c>
      <c r="C92" s="819"/>
      <c r="D92" s="558">
        <v>4455</v>
      </c>
      <c r="E92" s="518" t="s">
        <v>53</v>
      </c>
      <c r="F92" s="543" t="str">
        <f>+VLOOKUP(E92,'Base Indicadores 1'!$B$7:$AM$85,10,0)</f>
        <v>Tasa</v>
      </c>
      <c r="G92" s="519" t="str">
        <f>+VLOOKUP(E92,'Base Indicadores 1'!$B$7:$AL$85,8,0)</f>
        <v>Anual</v>
      </c>
      <c r="H92" s="520" t="str">
        <f>+VLOOKUP(E92,'Base Indicadores 1'!$B$7:$AL$85,9,0)</f>
        <v>Reducción</v>
      </c>
      <c r="I92" s="548">
        <f>+VLOOKUP(E92,'Base Indicadores 1'!$B$7:$AM$85,12,0)</f>
        <v>0.19400000000000001</v>
      </c>
      <c r="J92" s="685">
        <f>+VLOOKUP(E92,'Base Indicadores 1'!$B$7:$AM$85,11,0)</f>
        <v>0.15</v>
      </c>
      <c r="K92" s="682">
        <f>+VLOOKUP(E92,'Base Indicadores 1'!$B$7:$AM$85,32,0)</f>
        <v>0.17100000000000001</v>
      </c>
      <c r="L92" s="683">
        <f>+VLOOKUP(E92,'Base Indicadores 1'!$B$7:$AM$85,35,0)</f>
        <v>0.52272727272727237</v>
      </c>
      <c r="M92" s="684" t="str">
        <f>VLOOKUP(E92,'Base Indicadores 1'!$B$7:$AM$85,36,0)</f>
        <v>Dato a diciembre 2016</v>
      </c>
      <c r="N92" s="521" t="s">
        <v>348</v>
      </c>
      <c r="O92" s="538">
        <f t="shared" si="1"/>
        <v>0.52272727272727237</v>
      </c>
    </row>
    <row r="93" spans="1:15" ht="40.5" customHeight="1" x14ac:dyDescent="0.25">
      <c r="A93" s="483">
        <f t="shared" si="2"/>
        <v>70</v>
      </c>
      <c r="C93" s="819"/>
      <c r="D93" s="558">
        <v>5394</v>
      </c>
      <c r="E93" s="518" t="s">
        <v>67</v>
      </c>
      <c r="F93" s="543" t="str">
        <f>+VLOOKUP(E93,'Base Indicadores 1'!$B$7:$AM$85,10,0)</f>
        <v>Cupos</v>
      </c>
      <c r="G93" s="519" t="str">
        <f>+VLOOKUP(E93,'Base Indicadores 1'!$B$7:$AL$85,8,0)</f>
        <v>Anual</v>
      </c>
      <c r="H93" s="520" t="str">
        <f>+VLOOKUP(E93,'Base Indicadores 1'!$B$7:$AL$85,9,0)</f>
        <v>Acumulado</v>
      </c>
      <c r="I93" s="549">
        <f>+VLOOKUP(E93,'Base Indicadores 1'!$B$7:$AM$85,12,0)</f>
        <v>0</v>
      </c>
      <c r="J93" s="694">
        <f>+VLOOKUP(E93,'Base Indicadores 1'!$B$7:$AM$85,11,0)</f>
        <v>20</v>
      </c>
      <c r="K93" s="687">
        <f>+VLOOKUP(E93,'Base Indicadores 1'!$B$7:$AM$85,32,0)</f>
        <v>10</v>
      </c>
      <c r="L93" s="683">
        <f>+VLOOKUP(E93,'Base Indicadores 1'!$B$7:$AM$85,35,0)</f>
        <v>0.5</v>
      </c>
      <c r="M93" s="684" t="str">
        <f>VLOOKUP(E93,'Base Indicadores 1'!$B$7:$AM$85,36,0)</f>
        <v>Dato a diciembre 2017</v>
      </c>
      <c r="N93" s="521" t="s">
        <v>348</v>
      </c>
      <c r="O93" s="538">
        <f t="shared" si="1"/>
        <v>0.5</v>
      </c>
    </row>
    <row r="94" spans="1:15" ht="40.5" customHeight="1" x14ac:dyDescent="0.25">
      <c r="A94" s="483">
        <f t="shared" si="2"/>
        <v>71</v>
      </c>
      <c r="C94" s="819"/>
      <c r="D94" s="558">
        <v>4459</v>
      </c>
      <c r="E94" s="518" t="s">
        <v>57</v>
      </c>
      <c r="F94" s="543" t="str">
        <f>+VLOOKUP(E94,'Base Indicadores 1'!$B$7:$AM$85,10,0)</f>
        <v>Tasa</v>
      </c>
      <c r="G94" s="519" t="str">
        <f>+VLOOKUP(E94,'Base Indicadores 1'!$B$7:$AL$85,8,0)</f>
        <v>Anual</v>
      </c>
      <c r="H94" s="520" t="str">
        <f>+VLOOKUP(E94,'Base Indicadores 1'!$B$7:$AL$85,9,0)</f>
        <v>Reducción</v>
      </c>
      <c r="I94" s="548">
        <f>+VLOOKUP(E94,'Base Indicadores 1'!$B$7:$AM$85,12,0)</f>
        <v>0.10100000000000001</v>
      </c>
      <c r="J94" s="685">
        <f>+VLOOKUP(E94,'Base Indicadores 1'!$B$7:$AM$85,11,0)</f>
        <v>0.08</v>
      </c>
      <c r="K94" s="682">
        <f>+VLOOKUP(E94,'Base Indicadores 1'!$B$7:$AM$85,32,0)</f>
        <v>0.09</v>
      </c>
      <c r="L94" s="683">
        <f>+VLOOKUP(E94,'Base Indicadores 1'!$B$7:$AM$85,35,0)</f>
        <v>0.52380952380952417</v>
      </c>
      <c r="M94" s="684" t="str">
        <f>VLOOKUP(E94,'Base Indicadores 1'!$B$7:$AM$85,36,0)</f>
        <v>Dato a diciembre 2016</v>
      </c>
      <c r="N94" s="521" t="s">
        <v>348</v>
      </c>
      <c r="O94" s="538">
        <f t="shared" si="1"/>
        <v>0.52380952380952417</v>
      </c>
    </row>
    <row r="95" spans="1:15" ht="40.5" customHeight="1" x14ac:dyDescent="0.25">
      <c r="A95" s="483">
        <f t="shared" si="2"/>
        <v>72</v>
      </c>
      <c r="C95" s="819"/>
      <c r="D95" s="558">
        <v>4449</v>
      </c>
      <c r="E95" s="518" t="s">
        <v>49</v>
      </c>
      <c r="F95" s="543" t="str">
        <f>+VLOOKUP(E95,'Base Indicadores 1'!$B$7:$AM$85,10,0)</f>
        <v>Porcentaje</v>
      </c>
      <c r="G95" s="519" t="str">
        <f>+VLOOKUP(E95,'Base Indicadores 1'!$B$7:$AL$85,8,0)</f>
        <v>Anual</v>
      </c>
      <c r="H95" s="520" t="str">
        <f>+VLOOKUP(E95,'Base Indicadores 1'!$B$7:$AL$85,9,0)</f>
        <v>Flujo</v>
      </c>
      <c r="I95" s="548">
        <f>+VLOOKUP(E95,'Base Indicadores 1'!$B$7:$AM$85,12,0)</f>
        <v>3.4000000000000002E-2</v>
      </c>
      <c r="J95" s="685">
        <f>+VLOOKUP(E95,'Base Indicadores 1'!$B$7:$AM$85,11,0)</f>
        <v>0.13200000000000001</v>
      </c>
      <c r="K95" s="682">
        <f>+VLOOKUP(E95,'Base Indicadores 1'!$B$7:$AM$85,32,0)</f>
        <v>0.1439</v>
      </c>
      <c r="L95" s="683">
        <f>+VLOOKUP(E95,'Base Indicadores 1'!$B$7:$AM$85,35,0)</f>
        <v>1.0901515151515151</v>
      </c>
      <c r="M95" s="684" t="str">
        <f>VLOOKUP(E95,'Base Indicadores 1'!$B$7:$AM$85,36,0)</f>
        <v>Dato a diciembre 2017
Dato a diciembre 2018 sale en junio 19</v>
      </c>
      <c r="N95" s="521"/>
      <c r="O95" s="538">
        <f t="shared" si="1"/>
        <v>1</v>
      </c>
    </row>
    <row r="96" spans="1:15" ht="40.5" customHeight="1" x14ac:dyDescent="0.25">
      <c r="A96" s="483">
        <f t="shared" si="2"/>
        <v>73</v>
      </c>
      <c r="C96" s="819"/>
      <c r="D96" s="558">
        <v>5005</v>
      </c>
      <c r="E96" s="518" t="s">
        <v>64</v>
      </c>
      <c r="F96" s="543" t="str">
        <f>+VLOOKUP(E96,'Base Indicadores 1'!$B$7:$AM$85,10,0)</f>
        <v>Graduados</v>
      </c>
      <c r="G96" s="519" t="str">
        <f>+VLOOKUP(E96,'Base Indicadores 1'!$B$7:$AL$85,8,0)</f>
        <v>Anual</v>
      </c>
      <c r="H96" s="520" t="str">
        <f>+VLOOKUP(E96,'Base Indicadores 1'!$B$7:$AL$85,9,0)</f>
        <v>Capacidad</v>
      </c>
      <c r="I96" s="549">
        <f>+VLOOKUP(E96,'Base Indicadores 1'!$B$7:$AM$85,12,0)</f>
        <v>2709</v>
      </c>
      <c r="J96" s="694">
        <f>+VLOOKUP(E96,'Base Indicadores 1'!$B$7:$AM$85,11,0)</f>
        <v>4004</v>
      </c>
      <c r="K96" s="687">
        <f>+VLOOKUP(E96,'Base Indicadores 1'!$B$7:$AM$85,32,0)</f>
        <v>12456</v>
      </c>
      <c r="L96" s="683">
        <f>+VLOOKUP(E96,'Base Indicadores 1'!$B$7:$AM$85,35,0)</f>
        <v>7.5266409266409262</v>
      </c>
      <c r="M96" s="684" t="str">
        <f>VLOOKUP(E96,'Base Indicadores 1'!$B$7:$AM$85,36,0)</f>
        <v>Dato a diciembre 2017</v>
      </c>
      <c r="N96" s="696" t="s">
        <v>351</v>
      </c>
      <c r="O96" s="538">
        <v>1</v>
      </c>
    </row>
    <row r="97" spans="1:15" ht="40.5" customHeight="1" x14ac:dyDescent="0.25">
      <c r="A97" s="483">
        <f>+A96+1</f>
        <v>74</v>
      </c>
      <c r="C97" s="819"/>
      <c r="D97" s="558">
        <v>5361</v>
      </c>
      <c r="E97" s="522" t="s">
        <v>70</v>
      </c>
      <c r="F97" s="543" t="str">
        <f>+VLOOKUP(E97,'Base Indicadores 1'!$B$7:$AM$85,10,0)</f>
        <v>Estudiantes indígenas</v>
      </c>
      <c r="G97" s="519" t="str">
        <f>+VLOOKUP(E97,'Base Indicadores 1'!$B$7:$AL$85,8,0)</f>
        <v>Anual</v>
      </c>
      <c r="H97" s="520" t="str">
        <f>+VLOOKUP(E97,'Base Indicadores 1'!$B$7:$AL$85,9,0)</f>
        <v>Acumulado</v>
      </c>
      <c r="I97" s="549">
        <f>+VLOOKUP(E97,'Base Indicadores 1'!$B$7:$AM$85,12,0)</f>
        <v>1300</v>
      </c>
      <c r="J97" s="694">
        <f>+VLOOKUP(E97,'Base Indicadores 1'!$B$7:$AM$85,11,0)</f>
        <v>8000</v>
      </c>
      <c r="K97" s="687">
        <f>+VLOOKUP(E97,'Base Indicadores 1'!$B$7:$AM$85,32,0)</f>
        <v>2890</v>
      </c>
      <c r="L97" s="683">
        <f>+VLOOKUP(E97,'Base Indicadores 1'!$B$7:$AM$85,35,0)</f>
        <v>0.36125000000000002</v>
      </c>
      <c r="M97" s="684" t="str">
        <f>VLOOKUP(E97,'Base Indicadores 1'!$B$7:$AM$85,36,0)</f>
        <v>dato a mayo 2018:3905; se toma como referencia el anual 2017</v>
      </c>
      <c r="N97" s="521" t="s">
        <v>348</v>
      </c>
      <c r="O97" s="539">
        <f>+L97</f>
        <v>0.36125000000000002</v>
      </c>
    </row>
    <row r="98" spans="1:15" ht="40.5" customHeight="1" x14ac:dyDescent="0.25">
      <c r="A98" s="483">
        <f t="shared" si="2"/>
        <v>75</v>
      </c>
      <c r="C98" s="819" t="s">
        <v>135</v>
      </c>
      <c r="D98" s="558">
        <v>4462</v>
      </c>
      <c r="E98" s="518" t="s">
        <v>59</v>
      </c>
      <c r="F98" s="543" t="str">
        <f>+VLOOKUP(E98,'Base Indicadores 1'!$B$7:$AM$85,10,0)</f>
        <v>Porcentaje</v>
      </c>
      <c r="G98" s="519" t="str">
        <f>+VLOOKUP(E98,'Base Indicadores 1'!$B$7:$AL$85,8,0)</f>
        <v>Semestral</v>
      </c>
      <c r="H98" s="520" t="str">
        <f>+VLOOKUP(E98,'Base Indicadores 1'!$B$7:$AL$85,9,0)</f>
        <v>Flujo</v>
      </c>
      <c r="I98" s="548">
        <f>+VLOOKUP(E98,'Base Indicadores 1'!$B$7:$AM$85,12,0)</f>
        <v>0.39</v>
      </c>
      <c r="J98" s="685">
        <f>+VLOOKUP(E98,'Base Indicadores 1'!$B$7:$AM$85,11,0)</f>
        <v>0.6</v>
      </c>
      <c r="K98" s="682">
        <f>+VLOOKUP(E98,'Base Indicadores 1'!$B$7:$AM$85,32,0)</f>
        <v>0.84440000000000004</v>
      </c>
      <c r="L98" s="683">
        <f>+VLOOKUP(E98,'Base Indicadores 1'!$B$7:$AM$85,35,0)</f>
        <v>1.4073333333333335</v>
      </c>
      <c r="M98" s="684" t="str">
        <f>VLOOKUP(E98,'Base Indicadores 1'!$B$7:$AM$85,36,0)</f>
        <v>Reporte a diciembre 2018</v>
      </c>
      <c r="N98" s="521"/>
      <c r="O98" s="538">
        <f t="shared" si="1"/>
        <v>1</v>
      </c>
    </row>
    <row r="99" spans="1:15" ht="40.5" customHeight="1" x14ac:dyDescent="0.25">
      <c r="A99" s="483">
        <f t="shared" si="2"/>
        <v>76</v>
      </c>
      <c r="C99" s="819"/>
      <c r="D99" s="558">
        <v>4461</v>
      </c>
      <c r="E99" s="518" t="s">
        <v>181</v>
      </c>
      <c r="F99" s="543" t="str">
        <f>+VLOOKUP(E99,'Base Indicadores 1'!$B$7:$AM$85,10,0)</f>
        <v>Estudiantes</v>
      </c>
      <c r="G99" s="519" t="str">
        <f>+VLOOKUP(E99,'Base Indicadores 1'!$B$7:$AL$85,8,0)</f>
        <v>Semestral</v>
      </c>
      <c r="H99" s="520" t="str">
        <f>+VLOOKUP(E99,'Base Indicadores 1'!$B$7:$AL$85,9,0)</f>
        <v>Acumulado</v>
      </c>
      <c r="I99" s="549">
        <f>+VLOOKUP(E99,'Base Indicadores 1'!$B$7:$AM$85,12,0)</f>
        <v>23067</v>
      </c>
      <c r="J99" s="694">
        <f>+VLOOKUP(E99,'Base Indicadores 1'!$B$7:$AM$85,11,0)</f>
        <v>125000</v>
      </c>
      <c r="K99" s="687">
        <f>+VLOOKUP(E99,'Base Indicadores 1'!$B$7:$AM$85,32,0)</f>
        <v>87240</v>
      </c>
      <c r="L99" s="683">
        <f>+VLOOKUP(E99,'Base Indicadores 1'!$B$7:$AM$85,35,0)</f>
        <v>0.69791999999999998</v>
      </c>
      <c r="M99" s="684" t="str">
        <f>VLOOKUP(E99,'Base Indicadores 1'!$B$7:$AM$85,36,0)</f>
        <v>Reporte a diciembre 2018</v>
      </c>
      <c r="N99" s="521" t="s">
        <v>348</v>
      </c>
      <c r="O99" s="538">
        <f t="shared" si="1"/>
        <v>0.69791999999999998</v>
      </c>
    </row>
    <row r="100" spans="1:15" ht="48.75" customHeight="1" thickBot="1" x14ac:dyDescent="0.3">
      <c r="A100" s="483">
        <f t="shared" si="2"/>
        <v>77</v>
      </c>
      <c r="C100" s="820"/>
      <c r="D100" s="559">
        <v>4447</v>
      </c>
      <c r="E100" s="533" t="s">
        <v>47</v>
      </c>
      <c r="F100" s="550" t="str">
        <f>+VLOOKUP(E100,'Base Indicadores 1'!$B$7:$AM$85,10,0)</f>
        <v>Estudiantes</v>
      </c>
      <c r="G100" s="530" t="str">
        <f>+VLOOKUP(E100,'Base Indicadores 1'!$B$7:$AL$85,8,0)</f>
        <v>Semestral</v>
      </c>
      <c r="H100" s="534" t="str">
        <f>+VLOOKUP(E100,'Base Indicadores 1'!$B$7:$AL$85,9,0)</f>
        <v>Capacidad</v>
      </c>
      <c r="I100" s="551">
        <f>+VLOOKUP(E100,'Base Indicadores 1'!$B$7:$AM$85,12,0)</f>
        <v>117</v>
      </c>
      <c r="J100" s="764">
        <f>+VLOOKUP(E100,'Base Indicadores 1'!$B$7:$AM$85,11,0)</f>
        <v>2000</v>
      </c>
      <c r="K100" s="765">
        <f>+VLOOKUP(E100,'Base Indicadores 1'!$B$7:$AM$85,32,0)</f>
        <v>814</v>
      </c>
      <c r="L100" s="766">
        <f>+VLOOKUP(E100,'Base Indicadores 1'!$B$7:$AM$85,35,0)</f>
        <v>0.37015400955921401</v>
      </c>
      <c r="M100" s="779" t="str">
        <f>VLOOKUP(E100,'Base Indicadores 1'!$B$7:$AM$85,36,0)</f>
        <v>Reporte a diciembre 2017
Pendiente cargue junio y dic 2018</v>
      </c>
      <c r="N100" s="540" t="s">
        <v>348</v>
      </c>
      <c r="O100" s="541">
        <f t="shared" si="1"/>
        <v>0.37015400955921401</v>
      </c>
    </row>
    <row r="101" spans="1:15" s="478" customFormat="1" ht="24" customHeight="1" thickBot="1" x14ac:dyDescent="0.3">
      <c r="A101" s="512"/>
      <c r="C101" s="479"/>
      <c r="D101" s="479"/>
      <c r="E101" s="479"/>
      <c r="F101" s="479"/>
      <c r="H101" s="514"/>
      <c r="I101" s="783"/>
      <c r="J101" s="783"/>
      <c r="K101" s="811" t="s">
        <v>328</v>
      </c>
      <c r="L101" s="812"/>
      <c r="M101" s="812"/>
      <c r="N101" s="813"/>
      <c r="O101" s="515">
        <f>+AVERAGE(O78:O96,O98:O100)</f>
        <v>0.73156784421506904</v>
      </c>
    </row>
    <row r="102" spans="1:15" s="478" customFormat="1" ht="24" customHeight="1" thickBot="1" x14ac:dyDescent="0.3">
      <c r="A102" s="512"/>
      <c r="C102" s="479"/>
      <c r="D102" s="479"/>
      <c r="E102" s="479"/>
      <c r="F102" s="479"/>
      <c r="G102" s="480"/>
      <c r="H102" s="481"/>
      <c r="I102" s="481"/>
      <c r="J102" s="786"/>
      <c r="K102" s="784"/>
      <c r="L102" s="482"/>
      <c r="M102" s="482"/>
      <c r="N102" s="513"/>
      <c r="O102" s="513"/>
    </row>
    <row r="103" spans="1:15" s="478" customFormat="1" ht="24" customHeight="1" thickBot="1" x14ac:dyDescent="0.3">
      <c r="A103" s="512"/>
      <c r="C103" s="511" t="s">
        <v>320</v>
      </c>
      <c r="D103" s="485" t="s">
        <v>281</v>
      </c>
      <c r="F103" s="546"/>
      <c r="G103" s="376"/>
      <c r="H103" s="476"/>
      <c r="I103" s="476"/>
      <c r="J103" s="476"/>
      <c r="K103" s="483"/>
      <c r="L103" s="477"/>
      <c r="M103" s="376"/>
      <c r="N103" s="377"/>
      <c r="O103" s="377"/>
    </row>
    <row r="104" spans="1:15" s="478" customFormat="1" ht="24" customHeight="1" thickBot="1" x14ac:dyDescent="0.3">
      <c r="A104" s="512"/>
      <c r="C104" s="376"/>
      <c r="D104" s="376"/>
      <c r="E104" s="475"/>
      <c r="F104" s="475"/>
      <c r="G104" s="476"/>
      <c r="H104" s="476"/>
      <c r="I104" s="476"/>
      <c r="J104" s="476"/>
      <c r="K104" s="483"/>
      <c r="L104" s="477"/>
      <c r="M104" s="376"/>
      <c r="N104" s="377"/>
      <c r="O104" s="377"/>
    </row>
    <row r="105" spans="1:15" s="478" customFormat="1" ht="48.75" customHeight="1" thickBot="1" x14ac:dyDescent="0.3">
      <c r="A105" s="512"/>
      <c r="C105" s="487" t="s">
        <v>322</v>
      </c>
      <c r="D105" s="547" t="s">
        <v>357</v>
      </c>
      <c r="E105" s="488" t="s">
        <v>317</v>
      </c>
      <c r="F105" s="547" t="s">
        <v>318</v>
      </c>
      <c r="G105" s="528" t="s">
        <v>355</v>
      </c>
      <c r="H105" s="528" t="s">
        <v>319</v>
      </c>
      <c r="I105" s="544" t="s">
        <v>354</v>
      </c>
      <c r="J105" s="544" t="s">
        <v>324</v>
      </c>
      <c r="K105" s="487" t="s">
        <v>321</v>
      </c>
      <c r="L105" s="489" t="s">
        <v>325</v>
      </c>
      <c r="M105" s="488" t="s">
        <v>326</v>
      </c>
      <c r="N105" s="488" t="s">
        <v>85</v>
      </c>
      <c r="O105" s="490" t="s">
        <v>353</v>
      </c>
    </row>
    <row r="106" spans="1:15" ht="48.75" customHeight="1" thickBot="1" x14ac:dyDescent="0.3">
      <c r="A106" s="483">
        <f>+A100+1</f>
        <v>78</v>
      </c>
      <c r="C106" s="523" t="s">
        <v>132</v>
      </c>
      <c r="D106" s="561">
        <v>4440</v>
      </c>
      <c r="E106" s="524" t="s">
        <v>46</v>
      </c>
      <c r="F106" s="552" t="str">
        <f>+VLOOKUP(E106,'Base Indicadores 1'!$B$7:$AM$85,10,0)</f>
        <v>Porcentaje</v>
      </c>
      <c r="G106" s="524" t="str">
        <f>+VLOOKUP(E106,'Base Indicadores 1'!$B$7:$AL$85,8,0)</f>
        <v>Mensual</v>
      </c>
      <c r="H106" s="525" t="str">
        <f>+VLOOKUP(E106,'Base Indicadores 1'!$B$7:$AL$85,9,0)</f>
        <v>Flujo</v>
      </c>
      <c r="I106" s="527">
        <f>+VLOOKUP(E106,'Base Indicadores 1'!$B$7:$AM$85,12,0)</f>
        <v>0.68</v>
      </c>
      <c r="J106" s="685">
        <f>+VLOOKUP(E106,'Base Indicadores 1'!$B$7:$AM$85,11,0)</f>
        <v>0.9</v>
      </c>
      <c r="K106" s="682">
        <f>+VLOOKUP(E106,'Base Indicadores 1'!$B$7:$AM$85,32,0)</f>
        <v>0.62050000000000005</v>
      </c>
      <c r="L106" s="683">
        <f>+VLOOKUP(E106,'Base Indicadores 1'!$B$7:$AM$85,35,0)</f>
        <v>0.68944444444444453</v>
      </c>
      <c r="M106" s="684" t="str">
        <f>VLOOKUP(E106,'Base Indicadores 1'!$B$7:$AM$85,36,0)</f>
        <v>Reporte a Diciembre 2018</v>
      </c>
      <c r="N106" s="524" t="s">
        <v>348</v>
      </c>
      <c r="O106" s="526">
        <f t="shared" ref="O106" si="3">+IF(L106&gt;100%,100%,L106)</f>
        <v>0.68944444444444453</v>
      </c>
    </row>
    <row r="107" spans="1:15" ht="24" customHeight="1" thickBot="1" x14ac:dyDescent="0.3">
      <c r="C107" s="833" t="s">
        <v>467</v>
      </c>
      <c r="H107" s="514"/>
      <c r="I107" s="783"/>
      <c r="J107" s="783"/>
      <c r="K107" s="811" t="s">
        <v>329</v>
      </c>
      <c r="L107" s="812"/>
      <c r="M107" s="812"/>
      <c r="N107" s="813"/>
      <c r="O107" s="517">
        <f>+O106</f>
        <v>0.68944444444444453</v>
      </c>
    </row>
    <row r="108" spans="1:15" ht="24" customHeight="1" thickBot="1" x14ac:dyDescent="0.3">
      <c r="C108" s="832" t="s">
        <v>466</v>
      </c>
      <c r="D108" s="832"/>
      <c r="E108" s="832"/>
      <c r="F108" s="832"/>
    </row>
    <row r="109" spans="1:15" ht="24" customHeight="1" thickBot="1" x14ac:dyDescent="0.35">
      <c r="C109" s="832"/>
      <c r="D109" s="832"/>
      <c r="E109" s="832"/>
      <c r="F109" s="832"/>
      <c r="G109" s="816" t="s">
        <v>465</v>
      </c>
      <c r="H109" s="817"/>
      <c r="I109" s="817"/>
      <c r="J109" s="817"/>
      <c r="K109" s="817"/>
      <c r="L109" s="817"/>
      <c r="M109" s="817"/>
      <c r="N109" s="817"/>
      <c r="O109" s="516">
        <f>+AVERAGE(O19:O36,O37:O67,O71:O72,O78:O96,O98:O100,O106)</f>
        <v>0.75551963561589142</v>
      </c>
    </row>
  </sheetData>
  <autoFilter ref="A18:O72" xr:uid="{CBB82B82-BFD4-40D9-BB60-B008F47C0180}"/>
  <mergeCells count="22">
    <mergeCell ref="K101:N101"/>
    <mergeCell ref="K107:N107"/>
    <mergeCell ref="G109:N109"/>
    <mergeCell ref="C67:C70"/>
    <mergeCell ref="C71:C72"/>
    <mergeCell ref="C79:C97"/>
    <mergeCell ref="C98:C100"/>
    <mergeCell ref="K76:O76"/>
    <mergeCell ref="C108:F109"/>
    <mergeCell ref="K17:O17"/>
    <mergeCell ref="C4:O4"/>
    <mergeCell ref="C6:O6"/>
    <mergeCell ref="B8:O8"/>
    <mergeCell ref="K73:N73"/>
    <mergeCell ref="C32:C33"/>
    <mergeCell ref="C34:C37"/>
    <mergeCell ref="C38:C57"/>
    <mergeCell ref="C58:C60"/>
    <mergeCell ref="C61:C64"/>
    <mergeCell ref="C65:C66"/>
    <mergeCell ref="C19:C27"/>
    <mergeCell ref="C28:C31"/>
  </mergeCells>
  <conditionalFormatting sqref="L102 L74">
    <cfRule type="iconSet" priority="19">
      <iconSet iconSet="3TrafficLights2">
        <cfvo type="percent" val="0"/>
        <cfvo type="num" val="0.9"/>
        <cfvo type="num" val="1"/>
      </iconSet>
    </cfRule>
  </conditionalFormatting>
  <conditionalFormatting sqref="M102 M74 M19:M72">
    <cfRule type="iconSet" priority="20">
      <iconSet iconSet="3TrafficLights2">
        <cfvo type="percent" val="0"/>
        <cfvo type="num" val="0.75"/>
        <cfvo type="num" val="0.9"/>
      </iconSet>
    </cfRule>
  </conditionalFormatting>
  <conditionalFormatting sqref="L19:L72">
    <cfRule type="iconSet" priority="21">
      <iconSet iconSet="4Arrows">
        <cfvo type="percent" val="0"/>
        <cfvo type="num" val="0.7"/>
        <cfvo type="num" val="0.8"/>
        <cfvo type="num" val="0.9"/>
      </iconSet>
    </cfRule>
  </conditionalFormatting>
  <conditionalFormatting sqref="M10">
    <cfRule type="iconSet" priority="7">
      <iconSet iconSet="4Arrows" showValue="0">
        <cfvo type="percent" val="0"/>
        <cfvo type="num" val="0.7"/>
        <cfvo type="num" val="0.8"/>
        <cfvo type="num" val="0.9"/>
      </iconSet>
    </cfRule>
  </conditionalFormatting>
  <conditionalFormatting sqref="M14:O14 M11:M13">
    <cfRule type="iconSet" priority="6">
      <iconSet iconSet="4Arrows" showValue="0">
        <cfvo type="percent" val="0"/>
        <cfvo type="num" val="0.7"/>
        <cfvo type="num" val="0.8"/>
        <cfvo type="num" val="0.9"/>
      </iconSet>
    </cfRule>
  </conditionalFormatting>
  <conditionalFormatting sqref="L78:L100">
    <cfRule type="iconSet" priority="4">
      <iconSet iconSet="4Arrows">
        <cfvo type="percent" val="0"/>
        <cfvo type="num" val="0.7"/>
        <cfvo type="num" val="0.8"/>
        <cfvo type="num" val="0.9"/>
      </iconSet>
    </cfRule>
  </conditionalFormatting>
  <conditionalFormatting sqref="M78:M100">
    <cfRule type="iconSet" priority="3">
      <iconSet iconSet="3TrafficLights2">
        <cfvo type="percent" val="0"/>
        <cfvo type="num" val="0.75"/>
        <cfvo type="num" val="0.9"/>
      </iconSet>
    </cfRule>
  </conditionalFormatting>
  <conditionalFormatting sqref="L106">
    <cfRule type="iconSet" priority="2">
      <iconSet iconSet="4Arrows">
        <cfvo type="percent" val="0"/>
        <cfvo type="num" val="0.7"/>
        <cfvo type="num" val="0.8"/>
        <cfvo type="num" val="0.9"/>
      </iconSet>
    </cfRule>
  </conditionalFormatting>
  <conditionalFormatting sqref="M106">
    <cfRule type="iconSet" priority="1">
      <iconSet iconSet="3TrafficLights2">
        <cfvo type="percent" val="0"/>
        <cfvo type="num" val="0.75"/>
        <cfvo type="num" val="0.9"/>
      </iconSet>
    </cfRule>
  </conditionalFormatting>
  <printOptions horizontalCentered="1"/>
  <pageMargins left="0.43307086614173229" right="0.43307086614173229" top="0.74803149606299213" bottom="0.74803149606299213" header="0.31496062992125984" footer="0.31496062992125984"/>
  <pageSetup scale="41" fitToHeight="0" orientation="portrait" r:id="rId1"/>
  <rowBreaks count="2" manualBreakCount="2">
    <brk id="48" min="1" max="14" man="1"/>
    <brk id="73"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E14"/>
  <sheetViews>
    <sheetView workbookViewId="0">
      <selection activeCell="C26" sqref="C26"/>
    </sheetView>
  </sheetViews>
  <sheetFormatPr baseColWidth="10" defaultRowHeight="15" x14ac:dyDescent="0.25"/>
  <cols>
    <col min="2" max="2" width="45" customWidth="1"/>
    <col min="3" max="4" width="11.42578125" style="562"/>
    <col min="5" max="5" width="60.7109375" customWidth="1"/>
  </cols>
  <sheetData>
    <row r="4" spans="2:5" x14ac:dyDescent="0.25">
      <c r="B4" s="567" t="s">
        <v>365</v>
      </c>
      <c r="C4" s="567">
        <v>2007</v>
      </c>
      <c r="D4" s="567">
        <v>2017</v>
      </c>
    </row>
    <row r="5" spans="2:5" x14ac:dyDescent="0.25">
      <c r="B5" s="563" t="s">
        <v>359</v>
      </c>
      <c r="C5" s="564">
        <v>9170199</v>
      </c>
      <c r="D5" s="564">
        <v>7296553</v>
      </c>
    </row>
    <row r="6" spans="2:5" x14ac:dyDescent="0.25">
      <c r="B6" s="563" t="s">
        <v>361</v>
      </c>
      <c r="C6" s="565">
        <v>0</v>
      </c>
      <c r="D6" s="564">
        <v>730411</v>
      </c>
    </row>
    <row r="7" spans="2:5" x14ac:dyDescent="0.25">
      <c r="B7" s="563" t="s">
        <v>360</v>
      </c>
      <c r="C7" s="566">
        <v>5.5500000000000001E-2</v>
      </c>
      <c r="D7" s="566">
        <v>3.0800000000000001E-2</v>
      </c>
    </row>
    <row r="8" spans="2:5" ht="30" x14ac:dyDescent="0.25">
      <c r="B8" s="563" t="s">
        <v>10</v>
      </c>
      <c r="C8" s="566">
        <v>6.9000000000000006E-2</v>
      </c>
      <c r="D8" s="566">
        <v>5.2400000000000002E-2</v>
      </c>
    </row>
    <row r="9" spans="2:5" ht="30" x14ac:dyDescent="0.25">
      <c r="B9" s="563" t="s">
        <v>363</v>
      </c>
      <c r="C9" s="568">
        <v>7.97</v>
      </c>
      <c r="D9" s="569">
        <v>8.91</v>
      </c>
    </row>
    <row r="10" spans="2:5" x14ac:dyDescent="0.25">
      <c r="B10" s="563" t="s">
        <v>362</v>
      </c>
      <c r="C10" s="565" t="s">
        <v>370</v>
      </c>
      <c r="D10" s="566">
        <v>0.42370000000000002</v>
      </c>
      <c r="E10" t="s">
        <v>369</v>
      </c>
    </row>
    <row r="11" spans="2:5" x14ac:dyDescent="0.25">
      <c r="B11" s="563" t="s">
        <v>358</v>
      </c>
      <c r="C11" s="566" t="s">
        <v>370</v>
      </c>
      <c r="D11" s="565" t="s">
        <v>370</v>
      </c>
    </row>
    <row r="12" spans="2:5" ht="30" x14ac:dyDescent="0.25">
      <c r="B12" s="563" t="s">
        <v>367</v>
      </c>
      <c r="C12" s="564">
        <v>4956</v>
      </c>
      <c r="D12" s="564">
        <v>6958</v>
      </c>
      <c r="E12" s="473" t="s">
        <v>368</v>
      </c>
    </row>
    <row r="13" spans="2:5" x14ac:dyDescent="0.25">
      <c r="B13" s="563" t="s">
        <v>364</v>
      </c>
      <c r="C13" s="566">
        <v>0.316</v>
      </c>
      <c r="D13" s="566">
        <v>0.52800000000000002</v>
      </c>
    </row>
    <row r="14" spans="2:5" ht="30" x14ac:dyDescent="0.25">
      <c r="B14" s="563" t="s">
        <v>366</v>
      </c>
      <c r="C14" s="565" t="s">
        <v>370</v>
      </c>
      <c r="D14" s="564">
        <v>13415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H14"/>
  <sheetViews>
    <sheetView zoomScale="150" zoomScaleNormal="150" workbookViewId="0">
      <selection activeCell="B8" sqref="B8:B9"/>
    </sheetView>
  </sheetViews>
  <sheetFormatPr baseColWidth="10" defaultRowHeight="14.25" x14ac:dyDescent="0.2"/>
  <cols>
    <col min="1" max="1" width="11.42578125" style="335"/>
    <col min="2" max="2" width="14.85546875" style="335" customWidth="1"/>
    <col min="3" max="3" width="11.28515625" style="335" customWidth="1"/>
    <col min="4" max="4" width="14.28515625" style="335" customWidth="1"/>
    <col min="5" max="5" width="13.7109375" style="335" customWidth="1"/>
    <col min="6" max="6" width="11.140625" style="335" customWidth="1"/>
    <col min="7" max="7" width="14.140625" style="335" customWidth="1"/>
    <col min="8" max="8" width="12.28515625" style="335" customWidth="1"/>
    <col min="9" max="16384" width="11.42578125" style="335"/>
  </cols>
  <sheetData>
    <row r="3" spans="2:8" ht="57" x14ac:dyDescent="0.2">
      <c r="B3" s="334"/>
      <c r="C3" s="334" t="s">
        <v>167</v>
      </c>
      <c r="D3" s="334" t="s">
        <v>168</v>
      </c>
      <c r="E3" s="334" t="s">
        <v>169</v>
      </c>
      <c r="F3" s="334" t="s">
        <v>170</v>
      </c>
    </row>
    <row r="4" spans="2:8" x14ac:dyDescent="0.2">
      <c r="B4" s="336" t="s">
        <v>165</v>
      </c>
      <c r="C4" s="337">
        <v>5</v>
      </c>
      <c r="D4" s="337">
        <v>15</v>
      </c>
      <c r="E4" s="337">
        <v>34</v>
      </c>
      <c r="F4" s="337">
        <f>+SUM(C4:E4)</f>
        <v>54</v>
      </c>
    </row>
    <row r="5" spans="2:8" x14ac:dyDescent="0.2">
      <c r="B5" s="336" t="s">
        <v>166</v>
      </c>
      <c r="C5" s="337">
        <v>0</v>
      </c>
      <c r="D5" s="337">
        <v>6</v>
      </c>
      <c r="E5" s="337">
        <v>18</v>
      </c>
      <c r="F5" s="337">
        <f>+SUM(C5:E5)</f>
        <v>24</v>
      </c>
    </row>
    <row r="6" spans="2:8" x14ac:dyDescent="0.2">
      <c r="B6" s="338" t="s">
        <v>171</v>
      </c>
      <c r="C6" s="339">
        <f>SUM(C4:C5)</f>
        <v>5</v>
      </c>
      <c r="D6" s="339">
        <f t="shared" ref="D6:F6" si="0">SUM(D4:D5)</f>
        <v>21</v>
      </c>
      <c r="E6" s="339">
        <f t="shared" si="0"/>
        <v>52</v>
      </c>
      <c r="F6" s="339">
        <f t="shared" si="0"/>
        <v>78</v>
      </c>
    </row>
    <row r="7" spans="2:8" ht="15" thickBot="1" x14ac:dyDescent="0.25"/>
    <row r="8" spans="2:8" x14ac:dyDescent="0.2">
      <c r="B8" s="823" t="s">
        <v>287</v>
      </c>
      <c r="C8" s="821" t="s">
        <v>284</v>
      </c>
      <c r="D8" s="821"/>
      <c r="E8" s="822"/>
      <c r="F8" s="825" t="s">
        <v>289</v>
      </c>
      <c r="G8" s="821"/>
      <c r="H8" s="822"/>
    </row>
    <row r="9" spans="2:8" ht="39" thickBot="1" x14ac:dyDescent="0.25">
      <c r="B9" s="824"/>
      <c r="C9" s="352" t="s">
        <v>285</v>
      </c>
      <c r="D9" s="352" t="s">
        <v>286</v>
      </c>
      <c r="E9" s="353" t="s">
        <v>288</v>
      </c>
      <c r="F9" s="354" t="s">
        <v>285</v>
      </c>
      <c r="G9" s="352" t="s">
        <v>286</v>
      </c>
      <c r="H9" s="353" t="s">
        <v>288</v>
      </c>
    </row>
    <row r="10" spans="2:8" x14ac:dyDescent="0.2">
      <c r="B10" s="346" t="s">
        <v>165</v>
      </c>
      <c r="C10" s="347">
        <v>54</v>
      </c>
      <c r="D10" s="347">
        <v>43</v>
      </c>
      <c r="E10" s="348">
        <v>11</v>
      </c>
      <c r="F10" s="349">
        <v>14</v>
      </c>
      <c r="G10" s="350">
        <v>11</v>
      </c>
      <c r="H10" s="351">
        <v>3</v>
      </c>
    </row>
    <row r="11" spans="2:8" x14ac:dyDescent="0.2">
      <c r="B11" s="342" t="s">
        <v>282</v>
      </c>
      <c r="C11" s="340">
        <v>23</v>
      </c>
      <c r="D11" s="340">
        <v>12</v>
      </c>
      <c r="E11" s="343">
        <v>11</v>
      </c>
      <c r="F11" s="344">
        <v>6</v>
      </c>
      <c r="G11" s="341">
        <v>6</v>
      </c>
      <c r="H11" s="345">
        <v>0</v>
      </c>
    </row>
    <row r="12" spans="2:8" ht="15" thickBot="1" x14ac:dyDescent="0.25">
      <c r="B12" s="355" t="s">
        <v>283</v>
      </c>
      <c r="C12" s="356">
        <v>1</v>
      </c>
      <c r="D12" s="356">
        <v>1</v>
      </c>
      <c r="E12" s="357">
        <v>0</v>
      </c>
      <c r="F12" s="358">
        <v>0</v>
      </c>
      <c r="G12" s="359">
        <v>0</v>
      </c>
      <c r="H12" s="360">
        <v>0</v>
      </c>
    </row>
    <row r="13" spans="2:8" ht="15" thickBot="1" x14ac:dyDescent="0.25">
      <c r="B13" s="361" t="s">
        <v>285</v>
      </c>
      <c r="C13" s="362">
        <f>SUM(C10:C12)</f>
        <v>78</v>
      </c>
      <c r="D13" s="362">
        <f>SUM(D10:D12)</f>
        <v>56</v>
      </c>
      <c r="E13" s="363">
        <f>SUM(E10:E12)</f>
        <v>22</v>
      </c>
      <c r="F13" s="364">
        <f t="shared" ref="F13:H13" si="1">SUM(F10:F12)</f>
        <v>20</v>
      </c>
      <c r="G13" s="362">
        <f t="shared" si="1"/>
        <v>17</v>
      </c>
      <c r="H13" s="363">
        <f t="shared" si="1"/>
        <v>3</v>
      </c>
    </row>
    <row r="14" spans="2:8" ht="15" thickBot="1" x14ac:dyDescent="0.25">
      <c r="B14" s="826"/>
      <c r="C14" s="827"/>
      <c r="D14" s="365">
        <f>+D13/C13</f>
        <v>0.71794871794871795</v>
      </c>
      <c r="E14" s="366">
        <f>+E13/C13</f>
        <v>0.28205128205128205</v>
      </c>
      <c r="F14" s="828"/>
      <c r="G14" s="826"/>
      <c r="H14" s="826"/>
    </row>
  </sheetData>
  <mergeCells count="5">
    <mergeCell ref="C8:E8"/>
    <mergeCell ref="B8:B9"/>
    <mergeCell ref="F8:H8"/>
    <mergeCell ref="B14:C14"/>
    <mergeCell ref="F14:H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C51"/>
  <sheetViews>
    <sheetView zoomScaleNormal="100" workbookViewId="0">
      <selection activeCell="B8" sqref="B8:B9"/>
    </sheetView>
  </sheetViews>
  <sheetFormatPr baseColWidth="10" defaultRowHeight="15" x14ac:dyDescent="0.25"/>
  <cols>
    <col min="1" max="1" width="57.85546875" bestFit="1" customWidth="1"/>
    <col min="2" max="2" width="30.140625" bestFit="1" customWidth="1"/>
    <col min="3" max="3" width="38.85546875" bestFit="1" customWidth="1"/>
    <col min="4" max="4" width="40.7109375" customWidth="1"/>
    <col min="5" max="5" width="18.140625" customWidth="1"/>
    <col min="6" max="7" width="18.42578125" customWidth="1"/>
    <col min="8" max="8" width="35.140625" bestFit="1" customWidth="1"/>
    <col min="9" max="9" width="21.42578125" bestFit="1" customWidth="1"/>
  </cols>
  <sheetData>
    <row r="3" spans="1:2" x14ac:dyDescent="0.25">
      <c r="A3" s="97" t="s">
        <v>150</v>
      </c>
      <c r="B3" t="s">
        <v>152</v>
      </c>
    </row>
    <row r="4" spans="1:2" x14ac:dyDescent="0.25">
      <c r="A4" s="98" t="s">
        <v>101</v>
      </c>
      <c r="B4" s="100">
        <v>54</v>
      </c>
    </row>
    <row r="5" spans="1:2" ht="30" x14ac:dyDescent="0.25">
      <c r="A5" s="139" t="s">
        <v>136</v>
      </c>
      <c r="B5" s="100">
        <v>2</v>
      </c>
    </row>
    <row r="6" spans="1:2" x14ac:dyDescent="0.25">
      <c r="A6" s="139" t="s">
        <v>127</v>
      </c>
      <c r="B6" s="100">
        <v>9</v>
      </c>
    </row>
    <row r="7" spans="1:2" x14ac:dyDescent="0.25">
      <c r="A7" s="139" t="s">
        <v>130</v>
      </c>
      <c r="B7" s="100">
        <v>4</v>
      </c>
    </row>
    <row r="8" spans="1:2" x14ac:dyDescent="0.25">
      <c r="A8" s="139" t="s">
        <v>129</v>
      </c>
      <c r="B8" s="100">
        <v>2</v>
      </c>
    </row>
    <row r="9" spans="1:2" ht="30" x14ac:dyDescent="0.25">
      <c r="A9" s="139" t="s">
        <v>128</v>
      </c>
      <c r="B9" s="100">
        <v>1</v>
      </c>
    </row>
    <row r="10" spans="1:2" x14ac:dyDescent="0.25">
      <c r="A10" s="139" t="s">
        <v>123</v>
      </c>
      <c r="B10" s="100">
        <v>20</v>
      </c>
    </row>
    <row r="11" spans="1:2" x14ac:dyDescent="0.25">
      <c r="A11" s="139" t="s">
        <v>125</v>
      </c>
      <c r="B11" s="140">
        <v>2</v>
      </c>
    </row>
    <row r="12" spans="1:2" x14ac:dyDescent="0.25">
      <c r="A12" s="139" t="s">
        <v>137</v>
      </c>
      <c r="B12" s="100">
        <v>4</v>
      </c>
    </row>
    <row r="13" spans="1:2" x14ac:dyDescent="0.25">
      <c r="A13" s="139" t="s">
        <v>124</v>
      </c>
      <c r="B13" s="100">
        <v>3</v>
      </c>
    </row>
    <row r="14" spans="1:2" x14ac:dyDescent="0.25">
      <c r="A14" s="139" t="s">
        <v>138</v>
      </c>
      <c r="B14" s="140">
        <v>3</v>
      </c>
    </row>
    <row r="15" spans="1:2" x14ac:dyDescent="0.25">
      <c r="A15" s="139" t="s">
        <v>126</v>
      </c>
      <c r="B15" s="100">
        <v>4</v>
      </c>
    </row>
    <row r="16" spans="1:2" x14ac:dyDescent="0.25">
      <c r="A16" s="101" t="s">
        <v>99</v>
      </c>
      <c r="B16" s="100">
        <v>23</v>
      </c>
    </row>
    <row r="17" spans="1:3" x14ac:dyDescent="0.25">
      <c r="A17" s="99" t="s">
        <v>134</v>
      </c>
      <c r="B17" s="100">
        <v>1</v>
      </c>
    </row>
    <row r="18" spans="1:3" x14ac:dyDescent="0.25">
      <c r="A18" s="99" t="s">
        <v>131</v>
      </c>
      <c r="B18" s="100">
        <v>19</v>
      </c>
    </row>
    <row r="19" spans="1:3" x14ac:dyDescent="0.25">
      <c r="A19" s="99" t="s">
        <v>133</v>
      </c>
      <c r="B19" s="100">
        <v>1</v>
      </c>
    </row>
    <row r="20" spans="1:3" x14ac:dyDescent="0.25">
      <c r="A20" s="99" t="s">
        <v>135</v>
      </c>
      <c r="B20" s="100">
        <v>2</v>
      </c>
    </row>
    <row r="21" spans="1:3" x14ac:dyDescent="0.25">
      <c r="A21" s="98" t="s">
        <v>281</v>
      </c>
      <c r="B21" s="100">
        <v>1</v>
      </c>
    </row>
    <row r="22" spans="1:3" x14ac:dyDescent="0.25">
      <c r="A22" s="99" t="s">
        <v>132</v>
      </c>
      <c r="B22" s="100">
        <v>1</v>
      </c>
    </row>
    <row r="23" spans="1:3" x14ac:dyDescent="0.25">
      <c r="A23" s="98" t="s">
        <v>151</v>
      </c>
      <c r="B23" s="100">
        <v>78</v>
      </c>
    </row>
    <row r="25" spans="1:3" x14ac:dyDescent="0.25">
      <c r="A25" s="97" t="s">
        <v>100</v>
      </c>
      <c r="B25" t="s">
        <v>99</v>
      </c>
    </row>
    <row r="27" spans="1:3" x14ac:dyDescent="0.25">
      <c r="A27" s="97" t="s">
        <v>150</v>
      </c>
      <c r="B27" s="97" t="s">
        <v>83</v>
      </c>
      <c r="C27" t="s">
        <v>155</v>
      </c>
    </row>
    <row r="28" spans="1:3" ht="45" x14ac:dyDescent="0.25">
      <c r="A28" s="98" t="s">
        <v>134</v>
      </c>
      <c r="B28" s="101" t="s">
        <v>48</v>
      </c>
      <c r="C28" s="95">
        <v>0.63333333333333341</v>
      </c>
    </row>
    <row r="29" spans="1:3" ht="45" x14ac:dyDescent="0.25">
      <c r="A29" s="98" t="s">
        <v>131</v>
      </c>
      <c r="B29" s="101" t="s">
        <v>67</v>
      </c>
      <c r="C29" s="95" t="e">
        <v>#VALUE!</v>
      </c>
    </row>
    <row r="30" spans="1:3" ht="45" x14ac:dyDescent="0.25">
      <c r="B30" s="101" t="s">
        <v>56</v>
      </c>
      <c r="C30" s="95" t="e">
        <v>#VALUE!</v>
      </c>
    </row>
    <row r="31" spans="1:3" ht="30" x14ac:dyDescent="0.25">
      <c r="B31" s="101" t="s">
        <v>60</v>
      </c>
      <c r="C31" s="95" t="e">
        <v>#VALUE!</v>
      </c>
    </row>
    <row r="32" spans="1:3" ht="30" x14ac:dyDescent="0.25">
      <c r="B32" s="101" t="s">
        <v>65</v>
      </c>
      <c r="C32" s="95">
        <v>1.0659000000000001</v>
      </c>
    </row>
    <row r="33" spans="1:3" ht="60" x14ac:dyDescent="0.25">
      <c r="B33" s="101" t="s">
        <v>70</v>
      </c>
      <c r="C33" s="95" t="e">
        <v>#VALUE!</v>
      </c>
    </row>
    <row r="34" spans="1:3" ht="45" x14ac:dyDescent="0.25">
      <c r="B34" s="101" t="s">
        <v>61</v>
      </c>
      <c r="C34" s="95" t="e">
        <v>#VALUE!</v>
      </c>
    </row>
    <row r="35" spans="1:3" ht="45" x14ac:dyDescent="0.25">
      <c r="B35" s="101" t="s">
        <v>62</v>
      </c>
      <c r="C35" s="95" t="e">
        <v>#VALUE!</v>
      </c>
    </row>
    <row r="36" spans="1:3" ht="30" x14ac:dyDescent="0.25">
      <c r="B36" s="101" t="s">
        <v>55</v>
      </c>
      <c r="C36" s="95" t="e">
        <v>#VALUE!</v>
      </c>
    </row>
    <row r="37" spans="1:3" ht="30" x14ac:dyDescent="0.25">
      <c r="B37" s="101" t="s">
        <v>52</v>
      </c>
      <c r="C37" s="95" t="e">
        <v>#VALUE!</v>
      </c>
    </row>
    <row r="38" spans="1:3" ht="45" x14ac:dyDescent="0.25">
      <c r="B38" s="101" t="s">
        <v>63</v>
      </c>
      <c r="C38" s="95" t="e">
        <v>#VALUE!</v>
      </c>
    </row>
    <row r="39" spans="1:3" ht="75" x14ac:dyDescent="0.25">
      <c r="B39" s="101" t="s">
        <v>51</v>
      </c>
      <c r="C39" s="95" t="e">
        <v>#VALUE!</v>
      </c>
    </row>
    <row r="40" spans="1:3" ht="75" x14ac:dyDescent="0.25">
      <c r="B40" s="101" t="s">
        <v>50</v>
      </c>
      <c r="C40" s="95" t="e">
        <v>#VALUE!</v>
      </c>
    </row>
    <row r="41" spans="1:3" ht="75" x14ac:dyDescent="0.25">
      <c r="B41" s="101" t="s">
        <v>49</v>
      </c>
      <c r="C41" s="95" t="e">
        <v>#VALUE!</v>
      </c>
    </row>
    <row r="42" spans="1:3" ht="45" x14ac:dyDescent="0.25">
      <c r="B42" s="101" t="s">
        <v>64</v>
      </c>
      <c r="C42" s="95" t="e">
        <v>#VALUE!</v>
      </c>
    </row>
    <row r="43" spans="1:3" ht="30" x14ac:dyDescent="0.25">
      <c r="B43" s="101" t="s">
        <v>45</v>
      </c>
      <c r="C43" s="95" t="e">
        <v>#VALUE!</v>
      </c>
    </row>
    <row r="44" spans="1:3" ht="30" x14ac:dyDescent="0.25">
      <c r="B44" s="101" t="s">
        <v>54</v>
      </c>
      <c r="C44" s="95" t="e">
        <v>#VALUE!</v>
      </c>
    </row>
    <row r="45" spans="1:3" ht="30" x14ac:dyDescent="0.25">
      <c r="B45" s="101" t="s">
        <v>53</v>
      </c>
      <c r="C45" s="95" t="e">
        <v>#VALUE!</v>
      </c>
    </row>
    <row r="46" spans="1:3" ht="30" x14ac:dyDescent="0.25">
      <c r="B46" s="101" t="s">
        <v>66</v>
      </c>
      <c r="C46" s="95" t="e">
        <v>#VALUE!</v>
      </c>
    </row>
    <row r="47" spans="1:3" ht="30" x14ac:dyDescent="0.25">
      <c r="B47" s="101" t="s">
        <v>57</v>
      </c>
      <c r="C47" s="95" t="e">
        <v>#VALUE!</v>
      </c>
    </row>
    <row r="48" spans="1:3" ht="90" x14ac:dyDescent="0.25">
      <c r="A48" s="98" t="s">
        <v>133</v>
      </c>
      <c r="B48" s="101" t="s">
        <v>47</v>
      </c>
      <c r="C48" s="95">
        <v>0.621</v>
      </c>
    </row>
    <row r="49" spans="1:3" ht="75" x14ac:dyDescent="0.25">
      <c r="A49" s="98" t="s">
        <v>135</v>
      </c>
      <c r="B49" s="101" t="s">
        <v>59</v>
      </c>
      <c r="C49" s="95">
        <v>0.73090909090909084</v>
      </c>
    </row>
    <row r="50" spans="1:3" x14ac:dyDescent="0.25">
      <c r="B50" s="98" t="s">
        <v>181</v>
      </c>
      <c r="C50" s="100">
        <v>0.74695159710415804</v>
      </c>
    </row>
    <row r="51" spans="1:3" x14ac:dyDescent="0.25">
      <c r="A51" s="98" t="s">
        <v>151</v>
      </c>
      <c r="C51" s="100" t="e">
        <v>#VALUE!</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87"/>
  <sheetViews>
    <sheetView topLeftCell="A76" workbookViewId="0">
      <selection activeCell="C85" sqref="C85"/>
    </sheetView>
  </sheetViews>
  <sheetFormatPr baseColWidth="10" defaultRowHeight="15" x14ac:dyDescent="0.25"/>
  <cols>
    <col min="1" max="1" width="69.28515625" customWidth="1"/>
    <col min="3" max="3" width="77.42578125" customWidth="1"/>
    <col min="5" max="5" width="11.85546875" bestFit="1" customWidth="1"/>
  </cols>
  <sheetData>
    <row r="1" spans="1:5" ht="15.75" thickBot="1" x14ac:dyDescent="0.3">
      <c r="A1" s="104" t="s">
        <v>83</v>
      </c>
    </row>
    <row r="2" spans="1:5" x14ac:dyDescent="0.25">
      <c r="A2" s="109" t="s">
        <v>2</v>
      </c>
      <c r="C2" s="129" t="s">
        <v>2</v>
      </c>
      <c r="E2" t="b">
        <f>+A2=C2</f>
        <v>1</v>
      </c>
    </row>
    <row r="3" spans="1:5" x14ac:dyDescent="0.25">
      <c r="A3" s="2" t="s">
        <v>3</v>
      </c>
      <c r="C3" s="130" t="s">
        <v>3</v>
      </c>
      <c r="E3" t="b">
        <f t="shared" ref="E3:E66" si="0">+A3=C3</f>
        <v>1</v>
      </c>
    </row>
    <row r="4" spans="1:5" x14ac:dyDescent="0.25">
      <c r="A4" s="2" t="s">
        <v>4</v>
      </c>
      <c r="C4" s="130" t="s">
        <v>4</v>
      </c>
      <c r="E4" t="b">
        <f t="shared" si="0"/>
        <v>1</v>
      </c>
    </row>
    <row r="5" spans="1:5" x14ac:dyDescent="0.25">
      <c r="A5" s="2" t="s">
        <v>5</v>
      </c>
      <c r="C5" s="130" t="s">
        <v>5</v>
      </c>
      <c r="E5" t="b">
        <f t="shared" si="0"/>
        <v>1</v>
      </c>
    </row>
    <row r="6" spans="1:5" ht="45" x14ac:dyDescent="0.25">
      <c r="A6" s="3" t="s">
        <v>156</v>
      </c>
      <c r="C6" s="130" t="s">
        <v>6</v>
      </c>
      <c r="E6" t="b">
        <f t="shared" si="0"/>
        <v>0</v>
      </c>
    </row>
    <row r="7" spans="1:5" ht="30" x14ac:dyDescent="0.25">
      <c r="A7" s="2" t="s">
        <v>7</v>
      </c>
      <c r="C7" s="130" t="s">
        <v>7</v>
      </c>
      <c r="E7" t="b">
        <f t="shared" si="0"/>
        <v>1</v>
      </c>
    </row>
    <row r="8" spans="1:5" ht="45" x14ac:dyDescent="0.25">
      <c r="A8" s="2" t="s">
        <v>8</v>
      </c>
      <c r="C8" s="130" t="s">
        <v>8</v>
      </c>
      <c r="E8" t="b">
        <f t="shared" si="0"/>
        <v>1</v>
      </c>
    </row>
    <row r="9" spans="1:5" ht="30" x14ac:dyDescent="0.25">
      <c r="A9" s="2" t="s">
        <v>9</v>
      </c>
      <c r="C9" s="130" t="s">
        <v>9</v>
      </c>
      <c r="E9" t="b">
        <f t="shared" si="0"/>
        <v>1</v>
      </c>
    </row>
    <row r="10" spans="1:5" x14ac:dyDescent="0.25">
      <c r="A10" s="78" t="s">
        <v>10</v>
      </c>
      <c r="C10" s="132" t="s">
        <v>10</v>
      </c>
      <c r="E10" t="b">
        <f t="shared" si="0"/>
        <v>1</v>
      </c>
    </row>
    <row r="11" spans="1:5" x14ac:dyDescent="0.25">
      <c r="A11" s="78" t="s">
        <v>11</v>
      </c>
      <c r="C11" s="130" t="s">
        <v>11</v>
      </c>
      <c r="E11" t="b">
        <f t="shared" si="0"/>
        <v>1</v>
      </c>
    </row>
    <row r="12" spans="1:5" x14ac:dyDescent="0.25">
      <c r="A12" s="3" t="s">
        <v>12</v>
      </c>
      <c r="C12" s="132" t="s">
        <v>12</v>
      </c>
      <c r="E12" t="b">
        <f t="shared" si="0"/>
        <v>1</v>
      </c>
    </row>
    <row r="13" spans="1:5" x14ac:dyDescent="0.25">
      <c r="A13" s="3" t="s">
        <v>13</v>
      </c>
      <c r="C13" s="132" t="s">
        <v>13</v>
      </c>
      <c r="E13" t="b">
        <f t="shared" si="0"/>
        <v>1</v>
      </c>
    </row>
    <row r="14" spans="1:5" ht="30" x14ac:dyDescent="0.25">
      <c r="A14" s="3" t="s">
        <v>14</v>
      </c>
      <c r="C14" s="132" t="s">
        <v>14</v>
      </c>
      <c r="E14" t="b">
        <f t="shared" si="0"/>
        <v>1</v>
      </c>
    </row>
    <row r="15" spans="1:5" x14ac:dyDescent="0.25">
      <c r="A15" s="3" t="s">
        <v>15</v>
      </c>
      <c r="C15" s="130" t="s">
        <v>15</v>
      </c>
      <c r="E15" t="b">
        <f t="shared" si="0"/>
        <v>1</v>
      </c>
    </row>
    <row r="16" spans="1:5" x14ac:dyDescent="0.25">
      <c r="A16" s="3" t="s">
        <v>16</v>
      </c>
      <c r="C16" s="132" t="s">
        <v>16</v>
      </c>
      <c r="E16" t="b">
        <f t="shared" si="0"/>
        <v>1</v>
      </c>
    </row>
    <row r="17" spans="1:5" ht="30" x14ac:dyDescent="0.25">
      <c r="A17" s="3" t="s">
        <v>17</v>
      </c>
      <c r="C17" s="132" t="s">
        <v>17</v>
      </c>
      <c r="E17" t="b">
        <f t="shared" si="0"/>
        <v>1</v>
      </c>
    </row>
    <row r="18" spans="1:5" x14ac:dyDescent="0.25">
      <c r="A18" s="3" t="s">
        <v>18</v>
      </c>
      <c r="C18" s="130" t="s">
        <v>18</v>
      </c>
      <c r="E18" t="b">
        <f t="shared" si="0"/>
        <v>1</v>
      </c>
    </row>
    <row r="19" spans="1:5" x14ac:dyDescent="0.25">
      <c r="A19" s="3" t="s">
        <v>19</v>
      </c>
      <c r="C19" s="133" t="s">
        <v>19</v>
      </c>
      <c r="E19" t="b">
        <f t="shared" si="0"/>
        <v>1</v>
      </c>
    </row>
    <row r="20" spans="1:5" ht="30" x14ac:dyDescent="0.25">
      <c r="A20" s="3" t="s">
        <v>20</v>
      </c>
      <c r="C20" s="130" t="s">
        <v>20</v>
      </c>
      <c r="E20" t="b">
        <f t="shared" si="0"/>
        <v>1</v>
      </c>
    </row>
    <row r="21" spans="1:5" ht="30" x14ac:dyDescent="0.25">
      <c r="A21" s="3" t="s">
        <v>21</v>
      </c>
      <c r="C21" s="130" t="s">
        <v>21</v>
      </c>
      <c r="E21" t="b">
        <f t="shared" si="0"/>
        <v>1</v>
      </c>
    </row>
    <row r="22" spans="1:5" x14ac:dyDescent="0.25">
      <c r="A22" s="3" t="s">
        <v>22</v>
      </c>
      <c r="C22" s="130" t="s">
        <v>22</v>
      </c>
      <c r="E22" t="b">
        <f t="shared" si="0"/>
        <v>1</v>
      </c>
    </row>
    <row r="23" spans="1:5" x14ac:dyDescent="0.25">
      <c r="A23" s="3" t="s">
        <v>23</v>
      </c>
      <c r="C23" s="130" t="s">
        <v>23</v>
      </c>
      <c r="E23" t="b">
        <f t="shared" si="0"/>
        <v>1</v>
      </c>
    </row>
    <row r="24" spans="1:5" ht="30" x14ac:dyDescent="0.25">
      <c r="A24" s="3" t="s">
        <v>24</v>
      </c>
      <c r="C24" s="130" t="s">
        <v>24</v>
      </c>
      <c r="E24" t="b">
        <f t="shared" si="0"/>
        <v>1</v>
      </c>
    </row>
    <row r="25" spans="1:5" x14ac:dyDescent="0.25">
      <c r="A25" s="3" t="s">
        <v>25</v>
      </c>
      <c r="C25" s="132" t="s">
        <v>25</v>
      </c>
      <c r="E25" t="b">
        <f t="shared" si="0"/>
        <v>1</v>
      </c>
    </row>
    <row r="26" spans="1:5" x14ac:dyDescent="0.25">
      <c r="A26" s="78" t="s">
        <v>26</v>
      </c>
      <c r="C26" s="132" t="s">
        <v>26</v>
      </c>
      <c r="E26" t="b">
        <f t="shared" si="0"/>
        <v>1</v>
      </c>
    </row>
    <row r="27" spans="1:5" ht="30" x14ac:dyDescent="0.25">
      <c r="A27" s="2" t="s">
        <v>27</v>
      </c>
      <c r="C27" s="130" t="s">
        <v>27</v>
      </c>
      <c r="E27" t="b">
        <f t="shared" si="0"/>
        <v>1</v>
      </c>
    </row>
    <row r="28" spans="1:5" x14ac:dyDescent="0.25">
      <c r="A28" s="2" t="s">
        <v>28</v>
      </c>
      <c r="C28" s="130" t="s">
        <v>28</v>
      </c>
      <c r="E28" t="b">
        <f t="shared" si="0"/>
        <v>1</v>
      </c>
    </row>
    <row r="29" spans="1:5" ht="30" x14ac:dyDescent="0.25">
      <c r="A29" s="2" t="s">
        <v>29</v>
      </c>
      <c r="C29" s="134" t="s">
        <v>29</v>
      </c>
      <c r="E29" t="b">
        <f t="shared" si="0"/>
        <v>1</v>
      </c>
    </row>
    <row r="30" spans="1:5" ht="30" x14ac:dyDescent="0.25">
      <c r="A30" s="2" t="s">
        <v>30</v>
      </c>
      <c r="C30" s="135" t="s">
        <v>30</v>
      </c>
      <c r="E30" t="b">
        <f t="shared" si="0"/>
        <v>1</v>
      </c>
    </row>
    <row r="31" spans="1:5" ht="30" x14ac:dyDescent="0.25">
      <c r="A31" s="2" t="s">
        <v>31</v>
      </c>
      <c r="C31" s="134" t="s">
        <v>31</v>
      </c>
      <c r="E31" t="b">
        <f t="shared" si="0"/>
        <v>1</v>
      </c>
    </row>
    <row r="32" spans="1:5" x14ac:dyDescent="0.25">
      <c r="A32" s="2" t="s">
        <v>32</v>
      </c>
      <c r="C32" s="135" t="s">
        <v>32</v>
      </c>
      <c r="E32" t="b">
        <f t="shared" si="0"/>
        <v>1</v>
      </c>
    </row>
    <row r="33" spans="1:5" ht="45" x14ac:dyDescent="0.25">
      <c r="A33" s="2" t="s">
        <v>33</v>
      </c>
      <c r="C33" s="134" t="s">
        <v>33</v>
      </c>
      <c r="E33" t="b">
        <f t="shared" si="0"/>
        <v>1</v>
      </c>
    </row>
    <row r="34" spans="1:5" ht="45" x14ac:dyDescent="0.25">
      <c r="A34" s="2" t="s">
        <v>34</v>
      </c>
      <c r="C34" s="134" t="s">
        <v>34</v>
      </c>
      <c r="E34" t="b">
        <f t="shared" si="0"/>
        <v>1</v>
      </c>
    </row>
    <row r="35" spans="1:5" x14ac:dyDescent="0.25">
      <c r="A35" s="2" t="s">
        <v>35</v>
      </c>
      <c r="C35" s="136" t="s">
        <v>35</v>
      </c>
      <c r="E35" t="b">
        <f t="shared" si="0"/>
        <v>1</v>
      </c>
    </row>
    <row r="36" spans="1:5" ht="30" x14ac:dyDescent="0.25">
      <c r="A36" s="2" t="s">
        <v>36</v>
      </c>
      <c r="C36" s="134" t="s">
        <v>36</v>
      </c>
      <c r="E36" t="b">
        <f t="shared" si="0"/>
        <v>1</v>
      </c>
    </row>
    <row r="37" spans="1:5" ht="30" x14ac:dyDescent="0.25">
      <c r="A37" s="2" t="s">
        <v>37</v>
      </c>
      <c r="C37" s="136" t="s">
        <v>37</v>
      </c>
      <c r="E37" t="b">
        <f t="shared" si="0"/>
        <v>1</v>
      </c>
    </row>
    <row r="38" spans="1:5" ht="30" x14ac:dyDescent="0.25">
      <c r="A38" s="2" t="s">
        <v>38</v>
      </c>
      <c r="C38" s="134" t="s">
        <v>38</v>
      </c>
      <c r="E38" t="b">
        <f t="shared" si="0"/>
        <v>1</v>
      </c>
    </row>
    <row r="39" spans="1:5" x14ac:dyDescent="0.25">
      <c r="A39" s="2" t="s">
        <v>39</v>
      </c>
      <c r="C39" s="134" t="s">
        <v>39</v>
      </c>
      <c r="E39" t="b">
        <f t="shared" si="0"/>
        <v>1</v>
      </c>
    </row>
    <row r="40" spans="1:5" ht="30" x14ac:dyDescent="0.25">
      <c r="A40" s="2" t="s">
        <v>40</v>
      </c>
      <c r="C40" s="134" t="s">
        <v>40</v>
      </c>
      <c r="E40" t="b">
        <f t="shared" si="0"/>
        <v>1</v>
      </c>
    </row>
    <row r="41" spans="1:5" x14ac:dyDescent="0.25">
      <c r="A41" s="2" t="s">
        <v>41</v>
      </c>
      <c r="C41" s="136" t="s">
        <v>41</v>
      </c>
      <c r="E41" t="b">
        <f t="shared" si="0"/>
        <v>1</v>
      </c>
    </row>
    <row r="42" spans="1:5" x14ac:dyDescent="0.25">
      <c r="A42" s="2" t="s">
        <v>42</v>
      </c>
      <c r="C42" s="135" t="s">
        <v>42</v>
      </c>
      <c r="E42" t="b">
        <f t="shared" si="0"/>
        <v>1</v>
      </c>
    </row>
    <row r="43" spans="1:5" ht="30" x14ac:dyDescent="0.25">
      <c r="A43" s="2" t="s">
        <v>43</v>
      </c>
      <c r="C43" s="137" t="s">
        <v>43</v>
      </c>
      <c r="E43" t="b">
        <f t="shared" si="0"/>
        <v>1</v>
      </c>
    </row>
    <row r="44" spans="1:5" x14ac:dyDescent="0.25">
      <c r="A44" s="4" t="s">
        <v>44</v>
      </c>
      <c r="C44" s="136" t="s">
        <v>44</v>
      </c>
      <c r="E44" t="b">
        <f t="shared" si="0"/>
        <v>1</v>
      </c>
    </row>
    <row r="45" spans="1:5" x14ac:dyDescent="0.25">
      <c r="A45" s="2" t="s">
        <v>45</v>
      </c>
      <c r="C45" s="132" t="s">
        <v>45</v>
      </c>
      <c r="E45" t="b">
        <f t="shared" si="0"/>
        <v>1</v>
      </c>
    </row>
    <row r="46" spans="1:5" x14ac:dyDescent="0.25">
      <c r="A46" s="2" t="s">
        <v>46</v>
      </c>
      <c r="C46" s="130" t="s">
        <v>46</v>
      </c>
      <c r="E46" t="b">
        <f t="shared" si="0"/>
        <v>1</v>
      </c>
    </row>
    <row r="47" spans="1:5" ht="45" x14ac:dyDescent="0.25">
      <c r="A47" s="2" t="s">
        <v>47</v>
      </c>
      <c r="C47" s="132" t="s">
        <v>47</v>
      </c>
      <c r="E47" t="b">
        <f t="shared" si="0"/>
        <v>1</v>
      </c>
    </row>
    <row r="48" spans="1:5" x14ac:dyDescent="0.25">
      <c r="A48" s="2" t="s">
        <v>48</v>
      </c>
      <c r="C48" s="130" t="s">
        <v>48</v>
      </c>
      <c r="E48" t="b">
        <f t="shared" si="0"/>
        <v>1</v>
      </c>
    </row>
    <row r="49" spans="1:5" ht="30" x14ac:dyDescent="0.25">
      <c r="A49" s="2" t="s">
        <v>49</v>
      </c>
      <c r="C49" s="130" t="s">
        <v>49</v>
      </c>
      <c r="E49" t="b">
        <f t="shared" si="0"/>
        <v>1</v>
      </c>
    </row>
    <row r="50" spans="1:5" ht="30" x14ac:dyDescent="0.25">
      <c r="A50" s="2" t="s">
        <v>50</v>
      </c>
      <c r="C50" s="130" t="s">
        <v>50</v>
      </c>
      <c r="E50" t="b">
        <f t="shared" si="0"/>
        <v>1</v>
      </c>
    </row>
    <row r="51" spans="1:5" ht="30" x14ac:dyDescent="0.25">
      <c r="A51" s="2" t="s">
        <v>51</v>
      </c>
      <c r="C51" s="132" t="s">
        <v>51</v>
      </c>
      <c r="E51" t="b">
        <f t="shared" si="0"/>
        <v>1</v>
      </c>
    </row>
    <row r="52" spans="1:5" x14ac:dyDescent="0.25">
      <c r="A52" s="2" t="s">
        <v>52</v>
      </c>
      <c r="C52" s="132" t="s">
        <v>52</v>
      </c>
      <c r="E52" t="b">
        <f t="shared" si="0"/>
        <v>1</v>
      </c>
    </row>
    <row r="53" spans="1:5" x14ac:dyDescent="0.25">
      <c r="A53" s="2" t="s">
        <v>53</v>
      </c>
      <c r="C53" s="132" t="s">
        <v>53</v>
      </c>
      <c r="E53" t="b">
        <f t="shared" si="0"/>
        <v>1</v>
      </c>
    </row>
    <row r="54" spans="1:5" x14ac:dyDescent="0.25">
      <c r="A54" s="2" t="s">
        <v>54</v>
      </c>
      <c r="C54" s="132" t="s">
        <v>54</v>
      </c>
      <c r="E54" t="b">
        <f t="shared" si="0"/>
        <v>1</v>
      </c>
    </row>
    <row r="55" spans="1:5" x14ac:dyDescent="0.25">
      <c r="A55" s="2" t="s">
        <v>55</v>
      </c>
      <c r="C55" s="132" t="s">
        <v>55</v>
      </c>
      <c r="E55" t="b">
        <f t="shared" si="0"/>
        <v>1</v>
      </c>
    </row>
    <row r="56" spans="1:5" ht="30" x14ac:dyDescent="0.25">
      <c r="A56" s="2" t="s">
        <v>56</v>
      </c>
      <c r="C56" s="130" t="s">
        <v>56</v>
      </c>
      <c r="E56" t="b">
        <f t="shared" si="0"/>
        <v>1</v>
      </c>
    </row>
    <row r="57" spans="1:5" x14ac:dyDescent="0.25">
      <c r="A57" s="2" t="s">
        <v>57</v>
      </c>
      <c r="C57" s="132" t="s">
        <v>57</v>
      </c>
      <c r="E57" t="b">
        <f t="shared" si="0"/>
        <v>1</v>
      </c>
    </row>
    <row r="58" spans="1:5" x14ac:dyDescent="0.25">
      <c r="A58" s="2" t="s">
        <v>58</v>
      </c>
      <c r="C58" s="132" t="s">
        <v>58</v>
      </c>
      <c r="E58" t="b">
        <f t="shared" si="0"/>
        <v>1</v>
      </c>
    </row>
    <row r="59" spans="1:5" ht="30" x14ac:dyDescent="0.25">
      <c r="A59" s="2" t="s">
        <v>59</v>
      </c>
      <c r="C59" s="132" t="s">
        <v>59</v>
      </c>
      <c r="E59" t="b">
        <f t="shared" si="0"/>
        <v>1</v>
      </c>
    </row>
    <row r="60" spans="1:5" x14ac:dyDescent="0.25">
      <c r="A60" s="2" t="s">
        <v>60</v>
      </c>
      <c r="C60" s="130" t="s">
        <v>60</v>
      </c>
      <c r="E60" t="b">
        <f t="shared" si="0"/>
        <v>1</v>
      </c>
    </row>
    <row r="61" spans="1:5" ht="30" x14ac:dyDescent="0.25">
      <c r="A61" s="2" t="s">
        <v>61</v>
      </c>
      <c r="C61" s="132" t="s">
        <v>61</v>
      </c>
      <c r="E61" t="b">
        <f t="shared" si="0"/>
        <v>1</v>
      </c>
    </row>
    <row r="62" spans="1:5" x14ac:dyDescent="0.25">
      <c r="A62" s="2" t="s">
        <v>62</v>
      </c>
      <c r="C62" s="132" t="s">
        <v>62</v>
      </c>
      <c r="E62" t="b">
        <f t="shared" si="0"/>
        <v>1</v>
      </c>
    </row>
    <row r="63" spans="1:5" x14ac:dyDescent="0.25">
      <c r="A63" s="2" t="s">
        <v>63</v>
      </c>
      <c r="C63" s="132" t="s">
        <v>63</v>
      </c>
      <c r="E63" t="b">
        <f t="shared" si="0"/>
        <v>1</v>
      </c>
    </row>
    <row r="64" spans="1:5" x14ac:dyDescent="0.25">
      <c r="A64" s="2" t="s">
        <v>64</v>
      </c>
      <c r="C64" s="132" t="s">
        <v>64</v>
      </c>
      <c r="E64" t="b">
        <f t="shared" si="0"/>
        <v>1</v>
      </c>
    </row>
    <row r="65" spans="1:5" x14ac:dyDescent="0.25">
      <c r="A65" s="2" t="s">
        <v>65</v>
      </c>
      <c r="C65" s="130" t="s">
        <v>65</v>
      </c>
      <c r="E65" t="b">
        <f t="shared" si="0"/>
        <v>1</v>
      </c>
    </row>
    <row r="66" spans="1:5" x14ac:dyDescent="0.25">
      <c r="A66" s="2" t="s">
        <v>66</v>
      </c>
      <c r="C66" s="130" t="s">
        <v>66</v>
      </c>
      <c r="E66" t="b">
        <f t="shared" si="0"/>
        <v>1</v>
      </c>
    </row>
    <row r="67" spans="1:5" x14ac:dyDescent="0.25">
      <c r="A67" s="2" t="s">
        <v>67</v>
      </c>
      <c r="C67" s="138" t="s">
        <v>67</v>
      </c>
      <c r="E67" t="b">
        <f t="shared" ref="E67:E79" si="1">+A67=C67</f>
        <v>1</v>
      </c>
    </row>
    <row r="68" spans="1:5" ht="60" x14ac:dyDescent="0.25">
      <c r="A68" s="2" t="s">
        <v>68</v>
      </c>
      <c r="C68" s="138" t="s">
        <v>68</v>
      </c>
      <c r="E68" t="b">
        <f t="shared" si="1"/>
        <v>1</v>
      </c>
    </row>
    <row r="69" spans="1:5" ht="30" x14ac:dyDescent="0.25">
      <c r="A69" s="2" t="s">
        <v>69</v>
      </c>
      <c r="C69" s="138" t="s">
        <v>69</v>
      </c>
      <c r="E69" t="b">
        <f t="shared" si="1"/>
        <v>1</v>
      </c>
    </row>
    <row r="70" spans="1:5" ht="30" x14ac:dyDescent="0.25">
      <c r="A70" s="2" t="s">
        <v>70</v>
      </c>
      <c r="C70" s="138" t="s">
        <v>70</v>
      </c>
      <c r="E70" t="b">
        <f t="shared" si="1"/>
        <v>1</v>
      </c>
    </row>
    <row r="71" spans="1:5" ht="30" x14ac:dyDescent="0.25">
      <c r="A71" s="2" t="s">
        <v>71</v>
      </c>
      <c r="C71" s="138" t="s">
        <v>71</v>
      </c>
      <c r="E71" t="b">
        <f t="shared" si="1"/>
        <v>1</v>
      </c>
    </row>
    <row r="72" spans="1:5" ht="30" x14ac:dyDescent="0.25">
      <c r="A72" s="4" t="s">
        <v>72</v>
      </c>
      <c r="C72" s="138" t="s">
        <v>72</v>
      </c>
      <c r="E72" t="b">
        <f t="shared" si="1"/>
        <v>1</v>
      </c>
    </row>
    <row r="73" spans="1:5" ht="45" x14ac:dyDescent="0.25">
      <c r="A73" s="2" t="s">
        <v>73</v>
      </c>
      <c r="C73" s="138" t="s">
        <v>73</v>
      </c>
      <c r="E73" t="b">
        <f t="shared" si="1"/>
        <v>1</v>
      </c>
    </row>
    <row r="74" spans="1:5" ht="30" x14ac:dyDescent="0.25">
      <c r="A74" s="2" t="s">
        <v>74</v>
      </c>
      <c r="C74" s="138" t="s">
        <v>74</v>
      </c>
      <c r="E74" t="b">
        <f t="shared" si="1"/>
        <v>1</v>
      </c>
    </row>
    <row r="75" spans="1:5" ht="30" x14ac:dyDescent="0.25">
      <c r="A75" s="2" t="s">
        <v>75</v>
      </c>
      <c r="C75" s="134" t="s">
        <v>75</v>
      </c>
      <c r="E75" t="b">
        <f t="shared" si="1"/>
        <v>1</v>
      </c>
    </row>
    <row r="76" spans="1:5" ht="45" x14ac:dyDescent="0.25">
      <c r="A76" s="2" t="s">
        <v>76</v>
      </c>
      <c r="C76" s="134" t="s">
        <v>76</v>
      </c>
      <c r="E76" t="b">
        <f t="shared" si="1"/>
        <v>1</v>
      </c>
    </row>
    <row r="77" spans="1:5" ht="30" x14ac:dyDescent="0.25">
      <c r="A77" s="2" t="s">
        <v>77</v>
      </c>
      <c r="C77" s="134" t="s">
        <v>77</v>
      </c>
      <c r="E77" t="b">
        <f t="shared" si="1"/>
        <v>1</v>
      </c>
    </row>
    <row r="78" spans="1:5" ht="45" x14ac:dyDescent="0.25">
      <c r="A78" s="2" t="s">
        <v>78</v>
      </c>
      <c r="C78" s="130" t="s">
        <v>78</v>
      </c>
      <c r="E78" t="b">
        <f t="shared" si="1"/>
        <v>1</v>
      </c>
    </row>
    <row r="79" spans="1:5" ht="30.75" thickBot="1" x14ac:dyDescent="0.3">
      <c r="A79" s="115" t="s">
        <v>79</v>
      </c>
      <c r="C79" s="134" t="s">
        <v>79</v>
      </c>
      <c r="E79" t="b">
        <f t="shared" si="1"/>
        <v>1</v>
      </c>
    </row>
    <row r="83" spans="2:5" ht="30" x14ac:dyDescent="0.25">
      <c r="B83" t="s">
        <v>162</v>
      </c>
      <c r="C83" s="131" t="s">
        <v>157</v>
      </c>
    </row>
    <row r="84" spans="2:5" ht="30" x14ac:dyDescent="0.25">
      <c r="B84" t="s">
        <v>162</v>
      </c>
      <c r="C84" s="134" t="s">
        <v>158</v>
      </c>
      <c r="E84" t="b">
        <f>+A31=C84</f>
        <v>0</v>
      </c>
    </row>
    <row r="85" spans="2:5" ht="30" x14ac:dyDescent="0.25">
      <c r="C85" s="132" t="s">
        <v>159</v>
      </c>
      <c r="E85" t="b">
        <f>+A58=C85</f>
        <v>0</v>
      </c>
    </row>
    <row r="86" spans="2:5" ht="30" x14ac:dyDescent="0.25">
      <c r="B86" t="s">
        <v>163</v>
      </c>
      <c r="C86" s="138" t="s">
        <v>160</v>
      </c>
      <c r="E86" t="b">
        <f>+A70=C86</f>
        <v>0</v>
      </c>
    </row>
    <row r="87" spans="2:5" ht="30" x14ac:dyDescent="0.25">
      <c r="B87" t="s">
        <v>163</v>
      </c>
      <c r="C87" s="138" t="s">
        <v>161</v>
      </c>
      <c r="E87" t="b">
        <f>+A70=C87</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ANALISIS 2017 (2)</vt:lpstr>
      <vt:lpstr>Base Indicadores 1</vt:lpstr>
      <vt:lpstr>Hoja2</vt:lpstr>
      <vt:lpstr>Base Indicadores</vt:lpstr>
      <vt:lpstr>Tablero Seguimiento</vt:lpstr>
      <vt:lpstr>Hoja1</vt:lpstr>
      <vt:lpstr>RESUMEN</vt:lpstr>
      <vt:lpstr>Hoja3</vt:lpstr>
      <vt:lpstr>Hoja4</vt:lpstr>
      <vt:lpstr>Total corte diciembre</vt:lpstr>
      <vt:lpstr>'Tablero Seguimiento'!Área_de_impresión</vt:lpstr>
      <vt:lpstr>'Tablero Seguimiento'!Títulos_a_imprimir</vt:lpstr>
      <vt:lpstr>'Total corte diciembre'!Títulos_a_imprimir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Julio Flechas Pacheco</dc:creator>
  <cp:lastModifiedBy>Sonia Esperanza Casas Merchan</cp:lastModifiedBy>
  <cp:lastPrinted>2019-03-06T01:17:27Z</cp:lastPrinted>
  <dcterms:created xsi:type="dcterms:W3CDTF">2018-01-25T14:40:41Z</dcterms:created>
  <dcterms:modified xsi:type="dcterms:W3CDTF">2019-03-06T17:38:02Z</dcterms:modified>
</cp:coreProperties>
</file>