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ndreaparra/Desktop/MEN/2025/SIMES- MEDIAS TECNICAS/ADICIÓN 2026/PUBLICACIÓN/"/>
    </mc:Choice>
  </mc:AlternateContent>
  <xr:revisionPtr revIDLastSave="0" documentId="13_ncr:1_{FFE3AA81-246A-6B45-98DA-E9375762AD9E}" xr6:coauthVersionLast="47" xr6:coauthVersionMax="47" xr10:uidLastSave="{00000000-0000-0000-0000-000000000000}"/>
  <bookViews>
    <workbookView xWindow="0" yWindow="500" windowWidth="28800" windowHeight="16180" activeTab="4" xr2:uid="{00000000-000D-0000-FFFF-FFFF00000000}"/>
  </bookViews>
  <sheets>
    <sheet name="PRESUPUESTO 2025" sheetId="2" state="hidden" r:id="rId1"/>
    <sheet name="COMPARACIÓN PRESUPUESTO" sheetId="8" state="hidden" r:id="rId2"/>
    <sheet name="PRESUPUESTO DEFINITIVO" sheetId="10" state="hidden" r:id="rId3"/>
    <sheet name="PRESUPUESTO DEFINITIVO 110325" sheetId="11" state="hidden" r:id="rId4"/>
    <sheet name="PRESUPUESTO" sheetId="14" r:id="rId5"/>
  </sheets>
  <definedNames>
    <definedName name="_xlnm._FilterDatabase" localSheetId="1" hidden="1">'COMPARACIÓN PRESUPUESTO'!$A$5:$W$5</definedName>
    <definedName name="_xlnm._FilterDatabase" localSheetId="4" hidden="1">PRESUPUESTO!$A$5:$G$5</definedName>
    <definedName name="_xlnm._FilterDatabase" localSheetId="2" hidden="1">'PRESUPUESTO DEFINITIVO'!$A$5:$I$5</definedName>
    <definedName name="_xlnm._FilterDatabase" localSheetId="3" hidden="1">'PRESUPUESTO DEFINITIVO 110325'!$A$5:$I$5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4" l="1"/>
  <c r="H32" i="14"/>
  <c r="E28" i="14"/>
  <c r="E27" i="14"/>
  <c r="M19" i="14"/>
  <c r="E19" i="14"/>
  <c r="F17" i="14"/>
  <c r="E17" i="14"/>
  <c r="E14" i="14"/>
  <c r="N12" i="14"/>
  <c r="K43" i="11"/>
  <c r="L43" i="11" s="1"/>
  <c r="J41" i="11"/>
  <c r="H39" i="11"/>
  <c r="G39" i="11"/>
  <c r="J36" i="11"/>
  <c r="J35" i="11"/>
  <c r="J34" i="11"/>
  <c r="H34" i="11"/>
  <c r="G34" i="11"/>
  <c r="J33" i="11"/>
  <c r="H33" i="11"/>
  <c r="G33" i="11"/>
  <c r="J31" i="11"/>
  <c r="J32" i="11" s="1"/>
  <c r="H31" i="11"/>
  <c r="G31" i="11"/>
  <c r="J30" i="11"/>
  <c r="H30" i="11"/>
  <c r="G30" i="11"/>
  <c r="J28" i="11"/>
  <c r="H28" i="11"/>
  <c r="G28" i="11"/>
  <c r="J27" i="11"/>
  <c r="H27" i="11"/>
  <c r="G27" i="11"/>
  <c r="J26" i="11"/>
  <c r="H26" i="11"/>
  <c r="G26" i="11"/>
  <c r="J25" i="11"/>
  <c r="J29" i="11" s="1"/>
  <c r="H25" i="11"/>
  <c r="G25" i="11"/>
  <c r="J24" i="11"/>
  <c r="H24" i="11"/>
  <c r="G24" i="11"/>
  <c r="J22" i="11"/>
  <c r="H22" i="11"/>
  <c r="G22" i="11"/>
  <c r="J21" i="11"/>
  <c r="H21" i="11"/>
  <c r="G21" i="11"/>
  <c r="J20" i="11"/>
  <c r="H20" i="11"/>
  <c r="G20" i="11"/>
  <c r="J19" i="11"/>
  <c r="H19" i="11"/>
  <c r="G19" i="11"/>
  <c r="J18" i="11"/>
  <c r="H18" i="11"/>
  <c r="G18" i="11"/>
  <c r="J17" i="11"/>
  <c r="J23" i="11" s="1"/>
  <c r="H17" i="11"/>
  <c r="G17" i="11"/>
  <c r="J16" i="11"/>
  <c r="H16" i="11"/>
  <c r="G16" i="11"/>
  <c r="L14" i="11"/>
  <c r="J14" i="11"/>
  <c r="H14" i="11"/>
  <c r="G14" i="11"/>
  <c r="J13" i="11"/>
  <c r="J15" i="11" s="1"/>
  <c r="H13" i="11"/>
  <c r="G13" i="11"/>
  <c r="J11" i="11"/>
  <c r="H11" i="11"/>
  <c r="G11" i="11"/>
  <c r="J10" i="11"/>
  <c r="H10" i="11"/>
  <c r="G10" i="11"/>
  <c r="J9" i="11"/>
  <c r="H9" i="11"/>
  <c r="G9" i="11"/>
  <c r="J8" i="11"/>
  <c r="H8" i="11"/>
  <c r="G8" i="11"/>
  <c r="J7" i="11"/>
  <c r="H7" i="11"/>
  <c r="G7" i="11"/>
  <c r="J6" i="11"/>
  <c r="J12" i="11" s="1"/>
  <c r="H6" i="11"/>
  <c r="G6" i="11"/>
  <c r="J41" i="10"/>
  <c r="H39" i="10"/>
  <c r="G39" i="10"/>
  <c r="J36" i="10"/>
  <c r="J34" i="10"/>
  <c r="J35" i="10" s="1"/>
  <c r="H34" i="10"/>
  <c r="G34" i="10"/>
  <c r="J33" i="10"/>
  <c r="H33" i="10"/>
  <c r="G33" i="10"/>
  <c r="J32" i="10"/>
  <c r="J31" i="10"/>
  <c r="H31" i="10"/>
  <c r="G31" i="10"/>
  <c r="J30" i="10"/>
  <c r="H30" i="10"/>
  <c r="G30" i="10"/>
  <c r="J29" i="10"/>
  <c r="J28" i="10"/>
  <c r="H28" i="10"/>
  <c r="G28" i="10"/>
  <c r="J27" i="10"/>
  <c r="H27" i="10"/>
  <c r="G27" i="10"/>
  <c r="J26" i="10"/>
  <c r="H26" i="10"/>
  <c r="G26" i="10"/>
  <c r="J25" i="10"/>
  <c r="H25" i="10"/>
  <c r="G25" i="10"/>
  <c r="J24" i="10"/>
  <c r="H24" i="10"/>
  <c r="G24" i="10"/>
  <c r="J22" i="10"/>
  <c r="H22" i="10"/>
  <c r="G22" i="10"/>
  <c r="J21" i="10"/>
  <c r="H21" i="10"/>
  <c r="G21" i="10"/>
  <c r="J20" i="10"/>
  <c r="H20" i="10"/>
  <c r="G20" i="10"/>
  <c r="J19" i="10"/>
  <c r="H19" i="10"/>
  <c r="G19" i="10"/>
  <c r="J18" i="10"/>
  <c r="H18" i="10"/>
  <c r="G18" i="10"/>
  <c r="J17" i="10"/>
  <c r="J23" i="10" s="1"/>
  <c r="H17" i="10"/>
  <c r="G17" i="10"/>
  <c r="J16" i="10"/>
  <c r="H16" i="10"/>
  <c r="G16" i="10"/>
  <c r="J14" i="10"/>
  <c r="H14" i="10"/>
  <c r="G14" i="10"/>
  <c r="J13" i="10"/>
  <c r="J15" i="10" s="1"/>
  <c r="H13" i="10"/>
  <c r="G13" i="10"/>
  <c r="J11" i="10"/>
  <c r="H11" i="10"/>
  <c r="G11" i="10"/>
  <c r="J10" i="10"/>
  <c r="H10" i="10"/>
  <c r="G10" i="10"/>
  <c r="J9" i="10"/>
  <c r="H9" i="10"/>
  <c r="G9" i="10"/>
  <c r="J8" i="10"/>
  <c r="H8" i="10"/>
  <c r="G8" i="10"/>
  <c r="J7" i="10"/>
  <c r="H7" i="10"/>
  <c r="G7" i="10"/>
  <c r="J6" i="10"/>
  <c r="J12" i="10" s="1"/>
  <c r="H6" i="10"/>
  <c r="G6" i="10"/>
  <c r="I41" i="8"/>
  <c r="W40" i="8"/>
  <c r="V40" i="8"/>
  <c r="T40" i="8"/>
  <c r="Q40" i="8"/>
  <c r="V39" i="8"/>
  <c r="U39" i="8"/>
  <c r="T39" i="8"/>
  <c r="P39" i="8"/>
  <c r="O39" i="8"/>
  <c r="M39" i="8"/>
  <c r="L39" i="8"/>
  <c r="Q39" i="8" s="1"/>
  <c r="K39" i="8"/>
  <c r="W39" i="8" s="1"/>
  <c r="W38" i="8"/>
  <c r="V38" i="8"/>
  <c r="U38" i="8"/>
  <c r="T38" i="8"/>
  <c r="Q38" i="8"/>
  <c r="Q37" i="8"/>
  <c r="W36" i="8"/>
  <c r="V36" i="8"/>
  <c r="U36" i="8"/>
  <c r="T36" i="8"/>
  <c r="Q36" i="8"/>
  <c r="Q35" i="8"/>
  <c r="I33" i="8"/>
  <c r="G33" i="8"/>
  <c r="U33" i="8" s="1"/>
  <c r="Q32" i="8"/>
  <c r="G31" i="8"/>
  <c r="T31" i="8" s="1"/>
  <c r="Q29" i="8"/>
  <c r="W28" i="8"/>
  <c r="V28" i="8"/>
  <c r="U28" i="8"/>
  <c r="T28" i="8"/>
  <c r="P28" i="8"/>
  <c r="O28" i="8"/>
  <c r="N28" i="8"/>
  <c r="M28" i="8"/>
  <c r="L28" i="8"/>
  <c r="Q28" i="8" s="1"/>
  <c r="K28" i="8"/>
  <c r="I27" i="8"/>
  <c r="G26" i="8"/>
  <c r="P26" i="8" s="1"/>
  <c r="G24" i="8"/>
  <c r="O24" i="8" s="1"/>
  <c r="Q23" i="8"/>
  <c r="I22" i="8"/>
  <c r="G21" i="8"/>
  <c r="T21" i="8" s="1"/>
  <c r="G20" i="8"/>
  <c r="O20" i="8" s="1"/>
  <c r="G18" i="8"/>
  <c r="O18" i="8" s="1"/>
  <c r="I17" i="8"/>
  <c r="Q16" i="8"/>
  <c r="Q15" i="8"/>
  <c r="W14" i="8"/>
  <c r="V14" i="8"/>
  <c r="U14" i="8"/>
  <c r="T14" i="8"/>
  <c r="P14" i="8"/>
  <c r="O14" i="8"/>
  <c r="N14" i="8"/>
  <c r="M14" i="8"/>
  <c r="L14" i="8"/>
  <c r="K14" i="8"/>
  <c r="U12" i="8"/>
  <c r="Q12" i="8"/>
  <c r="G12" i="8"/>
  <c r="W11" i="8"/>
  <c r="V11" i="8"/>
  <c r="U11" i="8"/>
  <c r="T11" i="8"/>
  <c r="Q11" i="8"/>
  <c r="P11" i="8"/>
  <c r="O11" i="8"/>
  <c r="N11" i="8"/>
  <c r="M11" i="8"/>
  <c r="L11" i="8"/>
  <c r="K11" i="8"/>
  <c r="V10" i="8"/>
  <c r="U10" i="8"/>
  <c r="T10" i="8"/>
  <c r="P10" i="8"/>
  <c r="O10" i="8"/>
  <c r="N10" i="8"/>
  <c r="M10" i="8"/>
  <c r="L10" i="8"/>
  <c r="Q10" i="8" s="1"/>
  <c r="K10" i="8"/>
  <c r="W10" i="8" s="1"/>
  <c r="V9" i="8"/>
  <c r="U9" i="8"/>
  <c r="T9" i="8"/>
  <c r="P9" i="8"/>
  <c r="O9" i="8"/>
  <c r="M9" i="8"/>
  <c r="L9" i="8"/>
  <c r="Q9" i="8" s="1"/>
  <c r="K9" i="8"/>
  <c r="W9" i="8" s="1"/>
  <c r="V8" i="8"/>
  <c r="U8" i="8"/>
  <c r="T8" i="8"/>
  <c r="P8" i="8"/>
  <c r="O8" i="8"/>
  <c r="N8" i="8"/>
  <c r="M8" i="8"/>
  <c r="L8" i="8"/>
  <c r="Q8" i="8" s="1"/>
  <c r="K8" i="8"/>
  <c r="W8" i="8" s="1"/>
  <c r="V7" i="8"/>
  <c r="U7" i="8"/>
  <c r="T7" i="8"/>
  <c r="Q7" i="8"/>
  <c r="P7" i="8"/>
  <c r="O7" i="8"/>
  <c r="M7" i="8"/>
  <c r="N7" i="8" s="1"/>
  <c r="L7" i="8"/>
  <c r="K7" i="8"/>
  <c r="W7" i="8" s="1"/>
  <c r="W6" i="8"/>
  <c r="V6" i="8"/>
  <c r="U6" i="8"/>
  <c r="T6" i="8"/>
  <c r="P6" i="8"/>
  <c r="O6" i="8"/>
  <c r="M6" i="8"/>
  <c r="N6" i="8" s="1"/>
  <c r="L6" i="8"/>
  <c r="Q6" i="8" s="1"/>
  <c r="K6" i="8"/>
  <c r="G16" i="8"/>
  <c r="P16" i="8" s="1"/>
  <c r="G29" i="2"/>
  <c r="H28" i="2"/>
  <c r="H29" i="2" s="1"/>
  <c r="G27" i="2"/>
  <c r="H26" i="2"/>
  <c r="H27" i="2" s="1"/>
  <c r="H24" i="2"/>
  <c r="G23" i="2"/>
  <c r="G25" i="2" s="1"/>
  <c r="G22" i="2"/>
  <c r="H21" i="2"/>
  <c r="H22" i="2" s="1"/>
  <c r="E21" i="2"/>
  <c r="H20" i="2"/>
  <c r="E20" i="2"/>
  <c r="H19" i="2"/>
  <c r="G19" i="2"/>
  <c r="H18" i="2"/>
  <c r="E18" i="2"/>
  <c r="H17" i="2"/>
  <c r="H16" i="2"/>
  <c r="H15" i="2"/>
  <c r="E15" i="2"/>
  <c r="G14" i="2"/>
  <c r="H13" i="2"/>
  <c r="H11" i="2"/>
  <c r="H10" i="2"/>
  <c r="M9" i="2"/>
  <c r="H9" i="2"/>
  <c r="M8" i="2"/>
  <c r="H8" i="2"/>
  <c r="H14" i="2" s="1"/>
  <c r="H7" i="2"/>
  <c r="H6" i="2"/>
  <c r="L21" i="8" l="1"/>
  <c r="Q21" i="8" s="1"/>
  <c r="U21" i="8"/>
  <c r="V21" i="8"/>
  <c r="M21" i="8"/>
  <c r="O21" i="8"/>
  <c r="K21" i="8"/>
  <c r="W21" i="8" s="1"/>
  <c r="T26" i="8"/>
  <c r="U16" i="8"/>
  <c r="V26" i="8"/>
  <c r="T18" i="8"/>
  <c r="K33" i="8"/>
  <c r="L24" i="8"/>
  <c r="O26" i="8"/>
  <c r="K26" i="8"/>
  <c r="G29" i="8"/>
  <c r="P33" i="8"/>
  <c r="M26" i="8"/>
  <c r="V33" i="8"/>
  <c r="M24" i="8"/>
  <c r="P24" i="8"/>
  <c r="O33" i="8"/>
  <c r="V24" i="8"/>
  <c r="G22" i="8"/>
  <c r="G31" i="2"/>
  <c r="Q18" i="8"/>
  <c r="P18" i="8"/>
  <c r="M18" i="8"/>
  <c r="V18" i="8"/>
  <c r="L18" i="8"/>
  <c r="U18" i="8"/>
  <c r="K18" i="8"/>
  <c r="W18" i="8" s="1"/>
  <c r="U29" i="8"/>
  <c r="T29" i="8"/>
  <c r="V29" i="8"/>
  <c r="W29" i="8"/>
  <c r="J37" i="10"/>
  <c r="T12" i="8"/>
  <c r="W12" i="8"/>
  <c r="V12" i="8"/>
  <c r="T20" i="8"/>
  <c r="P20" i="8"/>
  <c r="M20" i="8"/>
  <c r="L20" i="8"/>
  <c r="V20" i="8"/>
  <c r="K20" i="8"/>
  <c r="W20" i="8" s="1"/>
  <c r="G25" i="8"/>
  <c r="H34" i="14"/>
  <c r="G30" i="8"/>
  <c r="G34" i="8"/>
  <c r="H23" i="2"/>
  <c r="H25" i="2" s="1"/>
  <c r="H31" i="2" s="1"/>
  <c r="T16" i="8"/>
  <c r="M16" i="8"/>
  <c r="V16" i="8"/>
  <c r="L16" i="8"/>
  <c r="G19" i="8"/>
  <c r="U20" i="8"/>
  <c r="N9" i="8"/>
  <c r="K16" i="8"/>
  <c r="W16" i="8" s="1"/>
  <c r="J37" i="11"/>
  <c r="L31" i="8"/>
  <c r="V31" i="8"/>
  <c r="K31" i="8"/>
  <c r="W31" i="8" s="1"/>
  <c r="P31" i="8"/>
  <c r="O31" i="8"/>
  <c r="M31" i="8"/>
  <c r="N39" i="8"/>
  <c r="O16" i="8"/>
  <c r="U31" i="8"/>
  <c r="P21" i="8"/>
  <c r="Q24" i="8"/>
  <c r="U26" i="8"/>
  <c r="L33" i="8"/>
  <c r="W33" i="8"/>
  <c r="T24" i="8"/>
  <c r="M33" i="8"/>
  <c r="N33" i="8" s="1"/>
  <c r="K24" i="8"/>
  <c r="W24" i="8" s="1"/>
  <c r="U24" i="8"/>
  <c r="L26" i="8"/>
  <c r="W26" i="8"/>
  <c r="T33" i="8"/>
  <c r="G35" i="8"/>
  <c r="N21" i="8" l="1"/>
  <c r="N26" i="8"/>
  <c r="N16" i="8"/>
  <c r="H33" i="2"/>
  <c r="H34" i="2" s="1"/>
  <c r="N20" i="8"/>
  <c r="N18" i="8"/>
  <c r="O30" i="8"/>
  <c r="V30" i="8"/>
  <c r="K30" i="8"/>
  <c r="W30" i="8" s="1"/>
  <c r="U30" i="8"/>
  <c r="G32" i="8"/>
  <c r="T30" i="8"/>
  <c r="P30" i="8"/>
  <c r="M30" i="8"/>
  <c r="L30" i="8"/>
  <c r="N24" i="8"/>
  <c r="V25" i="8"/>
  <c r="K25" i="8"/>
  <c r="W25" i="8" s="1"/>
  <c r="U25" i="8"/>
  <c r="O25" i="8"/>
  <c r="M25" i="8"/>
  <c r="L25" i="8"/>
  <c r="T25" i="8"/>
  <c r="P25" i="8"/>
  <c r="O34" i="8"/>
  <c r="U34" i="8"/>
  <c r="K34" i="8"/>
  <c r="W34" i="8" s="1"/>
  <c r="T34" i="8"/>
  <c r="P34" i="8"/>
  <c r="V34" i="8"/>
  <c r="M34" i="8"/>
  <c r="L34" i="8"/>
  <c r="Q34" i="8" s="1"/>
  <c r="J39" i="10"/>
  <c r="J40" i="10" s="1"/>
  <c r="J42" i="10" s="1"/>
  <c r="W35" i="8"/>
  <c r="V35" i="8"/>
  <c r="T35" i="8"/>
  <c r="U35" i="8"/>
  <c r="Q17" i="8"/>
  <c r="J40" i="11"/>
  <c r="J39" i="11"/>
  <c r="M19" i="8"/>
  <c r="V19" i="8"/>
  <c r="L19" i="8"/>
  <c r="Q19" i="8"/>
  <c r="P19" i="8"/>
  <c r="O19" i="8"/>
  <c r="T19" i="8"/>
  <c r="K19" i="8"/>
  <c r="W19" i="8" s="1"/>
  <c r="U19" i="8"/>
  <c r="N31" i="8"/>
  <c r="H36" i="14"/>
  <c r="H37" i="14" s="1"/>
  <c r="P22" i="8"/>
  <c r="W22" i="8"/>
  <c r="M22" i="8"/>
  <c r="V22" i="8"/>
  <c r="L22" i="8"/>
  <c r="Q22" i="8" s="1"/>
  <c r="U22" i="8"/>
  <c r="K22" i="8"/>
  <c r="T22" i="8"/>
  <c r="O22" i="8"/>
  <c r="N25" i="8" l="1"/>
  <c r="N19" i="8"/>
  <c r="G27" i="8"/>
  <c r="G13" i="8"/>
  <c r="U32" i="8"/>
  <c r="T32" i="8"/>
  <c r="W32" i="8"/>
  <c r="V32" i="8"/>
  <c r="N34" i="8"/>
  <c r="J42" i="11"/>
  <c r="J44" i="11"/>
  <c r="N22" i="8"/>
  <c r="N30" i="8"/>
  <c r="G17" i="8" l="1"/>
  <c r="M13" i="8"/>
  <c r="T13" i="8"/>
  <c r="G15" i="8"/>
  <c r="P13" i="8"/>
  <c r="U13" i="8"/>
  <c r="O13" i="8"/>
  <c r="K13" i="8"/>
  <c r="W13" i="8" s="1"/>
  <c r="V13" i="8"/>
  <c r="L13" i="8"/>
  <c r="Q13" i="8" s="1"/>
  <c r="V27" i="8"/>
  <c r="L27" i="8"/>
  <c r="U27" i="8"/>
  <c r="K27" i="8"/>
  <c r="W27" i="8" s="1"/>
  <c r="P27" i="8"/>
  <c r="O27" i="8"/>
  <c r="M27" i="8"/>
  <c r="Q27" i="8"/>
  <c r="T27" i="8"/>
  <c r="N27" i="8" l="1"/>
  <c r="N13" i="8"/>
  <c r="W15" i="8"/>
  <c r="T15" i="8"/>
  <c r="U15" i="8"/>
  <c r="V15" i="8"/>
  <c r="M17" i="8"/>
  <c r="V17" i="8"/>
  <c r="L17" i="8"/>
  <c r="P17" i="8"/>
  <c r="O17" i="8"/>
  <c r="U17" i="8"/>
  <c r="T17" i="8"/>
  <c r="K17" i="8"/>
  <c r="W17" i="8" s="1"/>
  <c r="G23" i="8"/>
  <c r="N17" i="8" l="1"/>
  <c r="U23" i="8"/>
  <c r="T23" i="8"/>
  <c r="W23" i="8"/>
  <c r="V23" i="8"/>
  <c r="G37" i="8"/>
  <c r="W37" i="8" l="1"/>
  <c r="T37" i="8"/>
  <c r="U37" i="8"/>
  <c r="V3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3" authorId="0" shapeId="0" xr:uid="{00000000-0006-0000-0700-00000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Encuentros</t>
        </r>
      </text>
    </comment>
    <comment ref="F13" authorId="0" shapeId="0" xr:uid="{00000000-0006-0000-0700-00000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14" authorId="0" shapeId="0" xr:uid="{00000000-0006-0000-0700-00000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Transportes terrestres</t>
        </r>
      </text>
    </comment>
    <comment ref="E16" authorId="0" shapeId="0" xr:uid="{00000000-0006-0000-0700-00000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Total de Visitas</t>
        </r>
      </text>
    </comment>
    <comment ref="F16" authorId="0" shapeId="0" xr:uid="{00000000-0006-0000-0700-00000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Profesionales</t>
        </r>
      </text>
    </comment>
    <comment ref="E17" authorId="0" shapeId="0" xr:uid="{00000000-0006-0000-0700-00000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asistentes (# de refrigerios requeridos)</t>
        </r>
      </text>
    </comment>
    <comment ref="F17" authorId="0" shapeId="0" xr:uid="{00000000-0006-0000-0700-00000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No. de encuentros</t>
        </r>
      </text>
    </comment>
    <comment ref="E18" authorId="0" shapeId="0" xr:uid="{00000000-0006-0000-0700-00000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en total proyecto</t>
        </r>
      </text>
    </comment>
    <comment ref="E19" authorId="0" shapeId="0" xr:uid="{00000000-0006-0000-0700-00000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24 días de viáticos* (12 por persona), 20 sedes
</t>
        </r>
      </text>
    </comment>
    <comment ref="F19" authorId="0" shapeId="0" xr:uid="{00000000-0006-0000-0700-00000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20" authorId="0" shapeId="0" xr:uid="{00000000-0006-0000-0700-00000B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 (# de transportes terrestres)</t>
        </r>
      </text>
    </comment>
    <comment ref="F20" authorId="0" shapeId="0" xr:uid="{00000000-0006-0000-0700-00000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</t>
        </r>
      </text>
    </comment>
    <comment ref="E21" authorId="0" shapeId="0" xr:uid="{00000000-0006-0000-0700-00000D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Certificados</t>
        </r>
      </text>
    </comment>
    <comment ref="E22" authorId="0" shapeId="0" xr:uid="{00000000-0006-0000-0700-00000E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 de materiales</t>
        </r>
      </text>
    </comment>
    <comment ref="F22" authorId="0" shapeId="0" xr:uid="{00000000-0006-0000-0700-00000F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4" authorId="0" shapeId="0" xr:uid="{00000000-0006-0000-0700-000010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Horas</t>
        </r>
      </text>
    </comment>
    <comment ref="F24" authorId="0" shapeId="0" xr:uid="{00000000-0006-0000-0700-00001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5" authorId="0" shapeId="0" xr:uid="{00000000-0006-0000-0700-00001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6" authorId="0" shapeId="0" xr:uid="{00000000-0006-0000-0700-00001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7" authorId="0" shapeId="0" xr:uid="{00000000-0006-0000-0700-00001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Rueda de Negocios por Sede</t>
        </r>
      </text>
    </comment>
    <comment ref="F27" authorId="0" shapeId="0" xr:uid="{00000000-0006-0000-0700-00001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F28" authorId="0" shapeId="0" xr:uid="{00000000-0006-0000-0700-00001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Sedes, se contemplan dotaciones hasta por $160.000.000 para cada sede</t>
        </r>
      </text>
    </comment>
    <comment ref="E30" authorId="0" shapeId="0" xr:uid="{00000000-0006-0000-0700-00001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1" authorId="0" shapeId="0" xr:uid="{00000000-0006-0000-0700-00001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3" authorId="0" shapeId="0" xr:uid="{00000000-0006-0000-0700-00001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3" authorId="0" shapeId="0" xr:uid="{00000000-0006-0000-0700-00001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días</t>
        </r>
      </text>
    </comment>
    <comment ref="E34" authorId="0" shapeId="0" xr:uid="{00000000-0006-0000-0700-00001B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4" authorId="0" shapeId="0" xr:uid="{00000000-0006-0000-0700-00001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3" authorId="0" shapeId="0" xr:uid="{00000000-0006-0000-0900-00000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Encuentros</t>
        </r>
      </text>
    </comment>
    <comment ref="F13" authorId="0" shapeId="0" xr:uid="{00000000-0006-0000-0900-00000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14" authorId="0" shapeId="0" xr:uid="{00000000-0006-0000-0900-00000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Transportes terrestres</t>
        </r>
      </text>
    </comment>
    <comment ref="E16" authorId="0" shapeId="0" xr:uid="{00000000-0006-0000-0900-00000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Total de Visitas</t>
        </r>
      </text>
    </comment>
    <comment ref="F16" authorId="0" shapeId="0" xr:uid="{00000000-0006-0000-0900-00000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Profesionales</t>
        </r>
      </text>
    </comment>
    <comment ref="E17" authorId="0" shapeId="0" xr:uid="{00000000-0006-0000-0900-00000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asistentes (# de refrigerios requeridos)</t>
        </r>
      </text>
    </comment>
    <comment ref="F17" authorId="0" shapeId="0" xr:uid="{00000000-0006-0000-0900-00000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No. de encuentros</t>
        </r>
      </text>
    </comment>
    <comment ref="E18" authorId="0" shapeId="0" xr:uid="{00000000-0006-0000-0900-00000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en total proyecto</t>
        </r>
      </text>
    </comment>
    <comment ref="E19" authorId="0" shapeId="0" xr:uid="{00000000-0006-0000-0900-00000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24 días de viáticos* (12 por persona), 20 sedes
</t>
        </r>
      </text>
    </comment>
    <comment ref="F19" authorId="0" shapeId="0" xr:uid="{00000000-0006-0000-0900-00000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20" authorId="0" shapeId="0" xr:uid="{00000000-0006-0000-0900-00000B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 (# de transportes terrestres)</t>
        </r>
      </text>
    </comment>
    <comment ref="F20" authorId="0" shapeId="0" xr:uid="{00000000-0006-0000-0900-00000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</t>
        </r>
      </text>
    </comment>
    <comment ref="E21" authorId="0" shapeId="0" xr:uid="{00000000-0006-0000-0900-00000D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Certificados</t>
        </r>
      </text>
    </comment>
    <comment ref="E22" authorId="0" shapeId="0" xr:uid="{00000000-0006-0000-0900-00000E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 de materiales</t>
        </r>
      </text>
    </comment>
    <comment ref="F22" authorId="0" shapeId="0" xr:uid="{00000000-0006-0000-0900-00000F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4" authorId="0" shapeId="0" xr:uid="{00000000-0006-0000-0900-000010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Horas</t>
        </r>
      </text>
    </comment>
    <comment ref="F24" authorId="0" shapeId="0" xr:uid="{00000000-0006-0000-0900-00001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5" authorId="0" shapeId="0" xr:uid="{00000000-0006-0000-0900-00001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6" authorId="0" shapeId="0" xr:uid="{00000000-0006-0000-0900-00001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7" authorId="0" shapeId="0" xr:uid="{00000000-0006-0000-0900-00001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Rueda de Negocios por Sede</t>
        </r>
      </text>
    </comment>
    <comment ref="F27" authorId="0" shapeId="0" xr:uid="{00000000-0006-0000-0900-00001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F28" authorId="0" shapeId="0" xr:uid="{00000000-0006-0000-0900-00001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Sedes, se contemplan dotaciones hasta por $160.000.000 para cada sede</t>
        </r>
      </text>
    </comment>
    <comment ref="E30" authorId="0" shapeId="0" xr:uid="{00000000-0006-0000-0900-00001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1" authorId="0" shapeId="0" xr:uid="{00000000-0006-0000-0900-00001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3" authorId="0" shapeId="0" xr:uid="{00000000-0006-0000-0900-00001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3" authorId="0" shapeId="0" xr:uid="{00000000-0006-0000-0900-00001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días</t>
        </r>
      </text>
    </comment>
    <comment ref="E34" authorId="0" shapeId="0" xr:uid="{00000000-0006-0000-0900-00001B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4" authorId="0" shapeId="0" xr:uid="{00000000-0006-0000-0900-00001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3" authorId="0" shapeId="0" xr:uid="{00000000-0006-0000-0A00-00000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Encuentros</t>
        </r>
      </text>
    </comment>
    <comment ref="F13" authorId="0" shapeId="0" xr:uid="{00000000-0006-0000-0A00-00000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14" authorId="0" shapeId="0" xr:uid="{00000000-0006-0000-0A00-00000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Transportes terrestres</t>
        </r>
      </text>
    </comment>
    <comment ref="E16" authorId="0" shapeId="0" xr:uid="{00000000-0006-0000-0A00-00000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Total de Visitas</t>
        </r>
      </text>
    </comment>
    <comment ref="F16" authorId="0" shapeId="0" xr:uid="{00000000-0006-0000-0A00-00000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Profesionales</t>
        </r>
      </text>
    </comment>
    <comment ref="E17" authorId="0" shapeId="0" xr:uid="{00000000-0006-0000-0A00-00000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asistentes (# de refrigerios requeridos)</t>
        </r>
      </text>
    </comment>
    <comment ref="F17" authorId="0" shapeId="0" xr:uid="{00000000-0006-0000-0A00-00000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No. de encuentros</t>
        </r>
      </text>
    </comment>
    <comment ref="E18" authorId="0" shapeId="0" xr:uid="{00000000-0006-0000-0A00-00000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Horas en total proyecto</t>
        </r>
      </text>
    </comment>
    <comment ref="E19" authorId="0" shapeId="0" xr:uid="{00000000-0006-0000-0A00-00000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24 días de viáticos* (12 por persona), 20 sedes
</t>
        </r>
      </text>
    </comment>
    <comment ref="F19" authorId="0" shapeId="0" xr:uid="{00000000-0006-0000-0A00-00000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sedes</t>
        </r>
      </text>
    </comment>
    <comment ref="E20" authorId="0" shapeId="0" xr:uid="{00000000-0006-0000-0A00-00000B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 (# de transportes terrestres)</t>
        </r>
      </text>
    </comment>
    <comment ref="F20" authorId="0" shapeId="0" xr:uid="{00000000-0006-0000-0A00-00000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</t>
        </r>
      </text>
    </comment>
    <comment ref="E21" authorId="0" shapeId="0" xr:uid="{00000000-0006-0000-0A00-00000D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Certificados</t>
        </r>
      </text>
    </comment>
    <comment ref="E22" authorId="0" shapeId="0" xr:uid="{00000000-0006-0000-0A00-00000E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 de materiales</t>
        </r>
      </text>
    </comment>
    <comment ref="F22" authorId="0" shapeId="0" xr:uid="{00000000-0006-0000-0A00-00000F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4" authorId="0" shapeId="0" xr:uid="{00000000-0006-0000-0A00-000010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Horas</t>
        </r>
      </text>
    </comment>
    <comment ref="F24" authorId="0" shapeId="0" xr:uid="{00000000-0006-0000-0A00-000011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E25" authorId="0" shapeId="0" xr:uid="{00000000-0006-0000-0A00-000012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6" authorId="0" shapeId="0" xr:uid="{00000000-0006-0000-0A00-000013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27" authorId="0" shapeId="0" xr:uid="{00000000-0006-0000-0A00-000014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Rueda de Negocios por Sede</t>
        </r>
      </text>
    </comment>
    <comment ref="F27" authorId="0" shapeId="0" xr:uid="{00000000-0006-0000-0A00-000015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</t>
        </r>
      </text>
    </comment>
    <comment ref="F28" authorId="0" shapeId="0" xr:uid="{00000000-0006-0000-0A00-000016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Sedes, se contemplan dotaciones hasta por $160.000.000 para cada sede</t>
        </r>
      </text>
    </comment>
    <comment ref="E30" authorId="0" shapeId="0" xr:uid="{00000000-0006-0000-0A00-000017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1" authorId="0" shapeId="0" xr:uid="{00000000-0006-0000-0A00-000018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  <comment ref="E33" authorId="0" shapeId="0" xr:uid="{00000000-0006-0000-0A00-000019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3" authorId="0" shapeId="0" xr:uid="{00000000-0006-0000-0A00-00001A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días</t>
        </r>
      </text>
    </comment>
    <comment ref="E34" authorId="0" shapeId="0" xr:uid="{00000000-0006-0000-0A00-00001B000000}">
      <text>
        <r>
          <rPr>
            <sz val="1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Personas </t>
        </r>
      </text>
    </comment>
    <comment ref="F34" authorId="0" shapeId="0" xr:uid="{00000000-0006-0000-0A00-00001C000000}">
      <text>
        <r>
          <rPr>
            <sz val="1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 Visitas</t>
        </r>
      </text>
    </comment>
  </commentList>
</comments>
</file>

<file path=xl/sharedStrings.xml><?xml version="1.0" encoding="utf-8"?>
<sst xmlns="http://schemas.openxmlformats.org/spreadsheetml/2006/main" count="428" uniqueCount="172">
  <si>
    <t>EDUCACIÓN RURAL PARA EL DESARROLLO PRODUCTIVO TERRITORIAL  EN MANOS CAMPESINAS, ÉTNICAS Y POPULARES: 
UNA APUESTA POR LA REFORMA AGRARIA Y LA PAZ TERRITORIAL</t>
  </si>
  <si>
    <t>OBJETO</t>
  </si>
  <si>
    <t>EJE ESTRATÉGICO</t>
  </si>
  <si>
    <t>ITEM</t>
  </si>
  <si>
    <t>RUBRO</t>
  </si>
  <si>
    <t>DESCRIPCIÓN</t>
  </si>
  <si>
    <t>CANTIDAD
(HORAS/NÚMERO)</t>
  </si>
  <si>
    <t>MESES</t>
  </si>
  <si>
    <t>VALOR UNITARIO 2025</t>
  </si>
  <si>
    <t>VALOR TOTAL</t>
  </si>
  <si>
    <t>TALENTO HUMANO</t>
  </si>
  <si>
    <t>Coordinador de Proyectos</t>
  </si>
  <si>
    <t>Profesional en administración, ciencias económicas, áreas administrativas o financieras
Título de posgrado en ciencias de la educación o ciencias sociales y humanas o áreas relacionadas con el desarrollo rural.  En caso de no contar con título de posgrado se deben certificar veinticuatro (24) meses de experiencia adicional a la experiencia relacionada.</t>
  </si>
  <si>
    <t>Coordinador Técnico y Administrativo</t>
  </si>
  <si>
    <t>Profesional en áreas administrativas o económicas o financiera o de ciencias del derecho, sociales, políticas o  humanas o ingeniería o áreas de la educación.
Título de posgrado en temas sociales y/o educación. En caso de no contar con título de posgrado se tendrá como equivalencia dos (2) años de experiencia adicional, siempre y cuando esa experiencia sea afín con el objeto de la contratación.</t>
  </si>
  <si>
    <t>Profesionales técnicos para acompañamiento agropecuario</t>
  </si>
  <si>
    <r>
      <rPr>
        <sz val="13"/>
        <rFont val="Arial Narrow"/>
        <family val="2"/>
      </rP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
</t>
    </r>
    <r>
      <rPr>
        <u/>
        <sz val="13"/>
        <rFont val="Arial Narrow"/>
        <family val="2"/>
      </rPr>
      <t>1 profesional por 4 sedes</t>
    </r>
  </si>
  <si>
    <t>Profesional de sistematización</t>
  </si>
  <si>
    <r>
      <rPr>
        <sz val="13"/>
        <rFont val="Arial Narrow"/>
        <family val="2"/>
      </rPr>
      <t xml:space="preserve">Profesional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</si>
  <si>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t>Profesionales para apoyo en espacios de participación</t>
  </si>
  <si>
    <t xml:space="preserve">Profesional en Ciencias sociales, ciencias humanas o económicas. </t>
  </si>
  <si>
    <t xml:space="preserve">Expertos temáticos </t>
  </si>
  <si>
    <t>Expertos en temas definidos en la formación (120 horas)</t>
  </si>
  <si>
    <t>Expertos técnicos</t>
  </si>
  <si>
    <t>Expertos en los Proyectos Pedagógicos Productivos</t>
  </si>
  <si>
    <t>Profesional pedagógico</t>
  </si>
  <si>
    <t>Profesional en áreas de la educación o las Ciencias Sociales y Humanas</t>
  </si>
  <si>
    <t>SUBTOTAL 1 TALENTO HUMANO</t>
  </si>
  <si>
    <t>ESPACIOS COLECTIVOS DE PARTICIPACIÓN TERRITORIAL</t>
  </si>
  <si>
    <t>2.1</t>
  </si>
  <si>
    <t>Caracterización territorial</t>
  </si>
  <si>
    <r>
      <rPr>
        <sz val="13"/>
        <color rgb="FF000000"/>
        <rFont val="Arial Narrow"/>
        <family val="2"/>
      </rPr>
      <t xml:space="preserve">Caracterización de la escuela, actores y ecosistemas pedagógicos-productivos
</t>
    </r>
    <r>
      <rPr>
        <u/>
        <sz val="13"/>
        <color rgb="FF000000"/>
        <rFont val="Arial Narrow"/>
        <family val="2"/>
      </rPr>
      <t xml:space="preserve">1 sesión por municipio, 40 personas cada encuentro y 2 representantes del proyecto
</t>
    </r>
    <r>
      <rPr>
        <sz val="13"/>
        <color rgb="FF000000"/>
        <rFont val="Arial Narrow"/>
        <family val="2"/>
      </rPr>
      <t xml:space="preserve">
Nota: estos costos incluyen refrigerios, viáticos y logística del profesional y los asistentes
1.200.000 viáticos profesional
60.000 alimentación por persona
10.000 desplazamiento por persona</t>
    </r>
  </si>
  <si>
    <t>2.2</t>
  </si>
  <si>
    <t xml:space="preserve">Planes territoriales de Educación y Desarrollo </t>
  </si>
  <si>
    <r>
      <rPr>
        <sz val="13"/>
        <rFont val="Arial Narrow"/>
        <family val="2"/>
      </rPr>
      <t xml:space="preserve">Construcción de planes territoriales de Educación y Desarrollo para el fortalecimiento del Proyecto Productivo </t>
    </r>
    <r>
      <rPr>
        <u/>
        <sz val="13"/>
        <rFont val="Arial Narrow"/>
        <family val="2"/>
      </rPr>
      <t xml:space="preserve">2 sesiones por municipio, 40 personas cada encuentro y 2 representantes del proyecto
</t>
    </r>
    <r>
      <rPr>
        <sz val="13"/>
        <rFont val="Arial Narrow"/>
        <family val="2"/>
      </rPr>
      <t xml:space="preserve">
Nota: estos costos incluyen refrigerios, viáticos y logística</t>
    </r>
  </si>
  <si>
    <t>2.3</t>
  </si>
  <si>
    <t xml:space="preserve">Incidencia y gestión territorial 
</t>
  </si>
  <si>
    <r>
      <rPr>
        <sz val="13"/>
        <color rgb="FF000000"/>
        <rFont val="Arial Narrow"/>
        <family val="2"/>
      </rPr>
      <t xml:space="preserve">Mesas territoriales con actores nacionales, departamentales, municipalesy organizaciones para generar procesos de incidencia y gestión sobre proyectos productivos 
</t>
    </r>
    <r>
      <rPr>
        <u/>
        <sz val="13"/>
        <color rgb="FF000000"/>
        <rFont val="Arial Narrow"/>
        <family val="2"/>
      </rPr>
      <t xml:space="preserve">2 sesiones  por municipio, 40 personas cada encuentro
</t>
    </r>
    <r>
      <rPr>
        <sz val="13"/>
        <color rgb="FF000000"/>
        <rFont val="Arial Narrow"/>
        <family val="2"/>
      </rPr>
      <t>Nota: estos costos incluyen refrigerios, viáticos y logística</t>
    </r>
  </si>
  <si>
    <t>2.4</t>
  </si>
  <si>
    <t xml:space="preserve">Feria/rueda de negocios
</t>
  </si>
  <si>
    <r>
      <rPr>
        <sz val="13"/>
        <rFont val="Arial Narrow"/>
        <family val="2"/>
      </rPr>
      <t xml:space="preserve">Exposición de los proyectos productivos a actores institucionales, gremiales y organizaciones de diferentes escalas territoriales
</t>
    </r>
    <r>
      <rPr>
        <u/>
        <sz val="13"/>
        <rFont val="Arial Narrow"/>
        <family val="2"/>
      </rPr>
      <t xml:space="preserve">1 sesión por municipio
</t>
    </r>
    <r>
      <rPr>
        <sz val="13"/>
        <rFont val="Arial Narrow"/>
        <family val="2"/>
      </rPr>
      <t>Nota: estos costos incluyen refrigerios, viáticos y logística
Asistencia de 2 profesionales por cada sesión</t>
    </r>
  </si>
  <si>
    <t>SUBTOTAL 2 PARTICIPACIÓN TERRITORIAL</t>
  </si>
  <si>
    <t xml:space="preserve">FORTALECIMIENTO DE CAPACIDADES INSTITUCIONALES Y COMUNITARIAS </t>
  </si>
  <si>
    <t>Acompañamento a secretarías de Educación</t>
  </si>
  <si>
    <t>3 espacios de acompañamiento para socializar la estrategia, presentar avances de comunidades educativas y crear un espacio de cierre y divulgación</t>
  </si>
  <si>
    <t>Formación ampliada escuela- comunidad</t>
  </si>
  <si>
    <r>
      <rPr>
        <sz val="13"/>
        <rFont val="Arial Narrow"/>
        <family val="2"/>
      </rPr>
      <t xml:space="preserve">4 ciclos formativos por escuela
- Talleres de aprendizaje técnico y tecnológico (14 horas)
- Talleres de gestión y gerencia de recursos (10 horas virtuales)
- Talleres sobre temáticas transversales (16 horas)
- Talleres de resignificación del PEI (10 horas)
</t>
    </r>
    <r>
      <rPr>
        <u/>
        <sz val="13"/>
        <rFont val="Arial Narrow"/>
        <family val="2"/>
      </rPr>
      <t xml:space="preserve">50 horas por escuela
</t>
    </r>
    <r>
      <rPr>
        <sz val="13"/>
        <rFont val="Arial Narrow"/>
        <family val="2"/>
      </rPr>
      <t xml:space="preserve">
Nota: estos costos incluyen refrigerios, viáticos y logística</t>
    </r>
  </si>
  <si>
    <t>SUBTOTAL 3 FORTALECIMIENTO DE CAPACIDADES</t>
  </si>
  <si>
    <t>OFERTAS DIVERSAS PARA RURALIDADES DIVERSAS</t>
  </si>
  <si>
    <t>4.1</t>
  </si>
  <si>
    <t xml:space="preserve">Fortalecimiento de Proyectos Pedagógicos Productivos </t>
  </si>
  <si>
    <r>
      <rPr>
        <sz val="13"/>
        <rFont val="Arial Narrow"/>
        <family val="2"/>
      </rPr>
      <t xml:space="preserve">Bolsa de asistencia técnica a proyectos productivos 
</t>
    </r>
    <r>
      <rPr>
        <u/>
        <sz val="13"/>
        <rFont val="Arial Narrow"/>
        <family val="2"/>
      </rPr>
      <t xml:space="preserve">30 horas por escuela, 1 profesional por 4 sedes, realizando 6 ingresos en total, cada uno de 5 horas
</t>
    </r>
    <r>
      <rPr>
        <sz val="13"/>
        <rFont val="Arial Narrow"/>
        <family val="2"/>
      </rPr>
      <t xml:space="preserve">
Nota: estos costos incluyen refrigerios, viáticos y logística</t>
    </r>
  </si>
  <si>
    <t>4.2</t>
  </si>
  <si>
    <t>Bolsa de dotación para cada proyecto pedagógico productivo</t>
  </si>
  <si>
    <t>Dotación de infraestructura, materiales y herramientas a los proyectos pedagogicos productivos en cada escuela</t>
  </si>
  <si>
    <t xml:space="preserve">SUBTOTAL 4 OFERTAS DIVERSAS </t>
  </si>
  <si>
    <t>PRODUCCIÓN DE CONOCIMIENTO DIALÓGICO E IGUALITARIO</t>
  </si>
  <si>
    <t>5.1</t>
  </si>
  <si>
    <t>Mesas de trabajo y sistematización del proceso</t>
  </si>
  <si>
    <t>Se realizarán visitas a los encuentros programados y las escuelas para la sistematización de todo el proceso.
Nota: Los costos incluyen refrigerios, viáticos y logística</t>
  </si>
  <si>
    <t>SUBTOTAL 5 PRODUCCIÓN DE CONOCIMIENTO</t>
  </si>
  <si>
    <t>INDUCCIÓN AL OPERADOR</t>
  </si>
  <si>
    <t>6.1</t>
  </si>
  <si>
    <t>Jornada de Inducción Operador</t>
  </si>
  <si>
    <t>4 personas del equipo por 1,5 día</t>
  </si>
  <si>
    <t xml:space="preserve">SUBTOTAL 5 INDUCCIÓN </t>
  </si>
  <si>
    <t>SUBTOTAL GENERAL</t>
  </si>
  <si>
    <t>Administración y utilidad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</si>
  <si>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</si>
  <si>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</si>
  <si>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</si>
  <si>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>NA</t>
  </si>
  <si>
    <t>VALOR TOTAL DEL PROYECTO</t>
  </si>
  <si>
    <t>CANTIDAD</t>
  </si>
  <si>
    <t xml:space="preserve">Certificados </t>
  </si>
  <si>
    <t>Profesionales de sistematización</t>
  </si>
  <si>
    <t xml:space="preserve">Profesionales en Ciencias sociales, ciencias humanas o económicas. </t>
  </si>
  <si>
    <t>Profesionales en áreas de la educación o Ciencias Sociales y Humanas</t>
  </si>
  <si>
    <t>Espacios colectivos de participación.</t>
  </si>
  <si>
    <t xml:space="preserve">Espacios de encuentro por municipio, con participación de 40  personas cada uno. Incluye: 5 encuentros en cabecera municipal, de 40 personas cada uno en cada uno de los 20 municios. Encuentros de medio día. Se costea refrigerio, almuerzo y salón. </t>
  </si>
  <si>
    <t xml:space="preserve">Transporte terrestre </t>
  </si>
  <si>
    <t xml:space="preserve">se calcula transporte terrestre al 50%  de asistentes a los encuentros </t>
  </si>
  <si>
    <t>Asistencia técnica  a secretarías de Educación</t>
  </si>
  <si>
    <t xml:space="preserve">Transporte aéreo y terrestre para garantizar 3 espacios de acompañamiento en la SE x tres profesionales. De 4 horas cada una. </t>
  </si>
  <si>
    <t>Formación experto</t>
  </si>
  <si>
    <t>4 horas de asesoría virtual por sede con experto (ver definición de experto en el anexo técnico)</t>
  </si>
  <si>
    <t xml:space="preserve">Viáticos procesos de formación y acompañamiento </t>
  </si>
  <si>
    <t xml:space="preserve">Transporte procesos de formación y acompañamiento </t>
  </si>
  <si>
    <t xml:space="preserve">Certificados del proceso de Formación por 1400 participantes </t>
  </si>
  <si>
    <t xml:space="preserve">Materiales </t>
  </si>
  <si>
    <t>Paquete de Materiales fungibles por sede (20) que contenga:
Marcadores borrables - Caja x 10
Tijeras - Unidad
Cinta de enmascarar - unidad
Marcadores permanentes - caja x12
Papel Bond - X 50 HOJAS
Papel kraft rollo de 30 cms de alto - unidad 
Ovillos de Lana Diferentes colores - Unidad
Impresiones - UNIDAD NEGRO Y BLANCO CARTA</t>
  </si>
  <si>
    <t>Viáticos expertos</t>
  </si>
  <si>
    <t>Rueda de negocios</t>
  </si>
  <si>
    <t>Sistematización del proceso (Viáticos)</t>
  </si>
  <si>
    <t>Se realizarán visitas a los encuentros programados y las escuelas para la sistematización de todo el proceso. Este rubro incluye viáticos para los sistematizadores. 5 personas hacen dos visitas de 3 días a 4 sedes/municipios/
Nota: Los costos incluyen refrigerios, viáticos y logística</t>
  </si>
  <si>
    <t>Se realizarán visitas a los encuentros programados y las escuelas para la sistematización de todo el proceso. Este rubro incluye transporte para los sistematizadores. 5 personas hacen dos visitas de 3 días a 4 sedes/municipios/</t>
  </si>
  <si>
    <t>INDUCCIÓN AL IMPLEMENTADOR</t>
  </si>
  <si>
    <t>Jornada de Inducción Implementador (Viáticos)</t>
  </si>
  <si>
    <t xml:space="preserve">Viáticos para 4 personas del equipo implementador por 1,5 días. El implementador se desplaza al MEN (Bogotá) </t>
  </si>
  <si>
    <t>Jornada de Inducción Implementador (Transporte)</t>
  </si>
  <si>
    <t xml:space="preserve">Transporte aéreo para 4 personas del equipo implementador por 1,5 días. El implementador se desplaza al MEN (Bogotá) </t>
  </si>
  <si>
    <t>PRESUPUESTO MEN</t>
  </si>
  <si>
    <t>UNIVERSIDAD CUN</t>
  </si>
  <si>
    <t>ASESORÍA Y GESTIÓN</t>
  </si>
  <si>
    <t>UNIVERSIDAD DE ANTIOQUIA</t>
  </si>
  <si>
    <t>DIFERENCIAS VALORES UNITARIOS RESPECTO PPTO MEN</t>
  </si>
  <si>
    <t>PROMEDIO</t>
  </si>
  <si>
    <t>MEDIANA</t>
  </si>
  <si>
    <t>DV</t>
  </si>
  <si>
    <t>CE VARIACIÓN</t>
  </si>
  <si>
    <t xml:space="preserve">MIN </t>
  </si>
  <si>
    <t>MAX</t>
  </si>
  <si>
    <t>VR MERCADO</t>
  </si>
  <si>
    <t>OBSERVACIONES</t>
  </si>
  <si>
    <t>CON PROMEDIO</t>
  </si>
  <si>
    <r>
      <rPr>
        <sz val="13"/>
        <rFont val="Arial Narrow"/>
        <family val="2"/>
      </rP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
</t>
    </r>
    <r>
      <rPr>
        <u/>
        <sz val="13"/>
        <rFont val="Arial Narrow"/>
        <family val="2"/>
      </rPr>
      <t>1 profesional por 4 sedes</t>
    </r>
  </si>
  <si>
    <r>
      <rPr>
        <sz val="13"/>
        <rFont val="Arial Narrow"/>
        <family val="2"/>
      </rPr>
      <t xml:space="preserve">Profesionales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</si>
  <si>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t>Se mantiene el valor propuesto por la firma Asesoría y Gestión teniendo en cuenta su experiencia en este tipo de proyecto y en ests territorios en particular.</t>
  </si>
  <si>
    <t xml:space="preserve">3 ciclos de formación: 
*3 días de formación de medio día para 70 participantes por sede educativa. (20 sedes)
*3 días de acompañamiento de para 30 participantes por sede educativa (20 sedes)
Incluye únicamente el costo de un refrigerio diario por participante
</t>
  </si>
  <si>
    <t>Se hace un ajuste en relación con el criterio a costear que en este caso son refrigerios para 100 personas, en las 20 sedes educativas por 3 días de formación por 3 encuentros</t>
  </si>
  <si>
    <t>Se establece el promedio entre los 3 valores más cercanos, sin tener en cuenta el cotizado por la CUN</t>
  </si>
  <si>
    <t>Dos profesionales que van a la sede 3 veces por 4 días. Incluye solo viáticos (hospedaje y alimentación)</t>
  </si>
  <si>
    <t>Dos profesionales que van a la sede 3 veces por 4 días. Incluye solo transporte terrestre.</t>
  </si>
  <si>
    <t>Se incluye la mediana del costo de cada paquete, aclarando el valor del presupuesto unitario del MEN</t>
  </si>
  <si>
    <r>
      <rPr>
        <sz val="13"/>
        <rFont val="Arial Narrow"/>
        <family val="2"/>
      </rPr>
      <t>Bolsa de asistencia técnica a proyectos productivos 
1</t>
    </r>
    <r>
      <rPr>
        <u/>
        <sz val="13"/>
        <rFont val="Arial Narrow"/>
        <family val="2"/>
      </rPr>
      <t>0 horas por sede educativa</t>
    </r>
    <r>
      <rPr>
        <sz val="13"/>
        <rFont val="Arial Narrow"/>
        <family val="2"/>
      </rPr>
      <t xml:space="preserve">. Ver definición de experto en el enexo técnico </t>
    </r>
  </si>
  <si>
    <t>Viáticos a expertos, 3 visitas de un día a cada sede Incluye solo viáticos (hospedaje y alimentación)</t>
  </si>
  <si>
    <t>Se mantiene el valor deviáticos determinado para el proceso de formación y acompañamiento</t>
  </si>
  <si>
    <t>Transporte terrestre expertos</t>
  </si>
  <si>
    <t>Transporte terrestre expertos, 3 visitas de un día a cada sede</t>
  </si>
  <si>
    <t>Se mantiene el valor de transporte terrestre determinado para el proceso de formación y acompañamiento</t>
  </si>
  <si>
    <t>Rueda de negocios por cada municipio. Incluye: 
* 1 pendón por cada sede (20 sedes)
* 60 refrigerios por sede (20 sedes)</t>
  </si>
  <si>
    <t>Se establece el promedio entre los 2 valores más cercanos, sin tener en cuenta el cotizado por la CUN ni U de Antioquia.</t>
  </si>
  <si>
    <t>Sistematización del proceso (Transporte terrestre)</t>
  </si>
  <si>
    <t>VALOR TOTAL DEL PROYECTO SIN  IVA</t>
  </si>
  <si>
    <t>IVA</t>
  </si>
  <si>
    <t>VALOR TOTAL DEL PROYECTO CON  IVA</t>
  </si>
  <si>
    <t>VALOR TOTAL CON COTIZACIONES</t>
  </si>
  <si>
    <t>Se realizarán visitas a los encuentros programados y las escuelas para la sistematización de todo el proceso. Este rubro incluye viáticos (hospedaje y alimentación) para los sistematizadores. 5 personas hacen dos visitas de 3 días a 4 sedes/municipios/
Nota: Incluye solo viáticos (hospedaje y alimentación)</t>
  </si>
  <si>
    <t>Se realizarán visitas a los encuentros programados y las escuelas para la sistematización de todo el proceso. Este rubro incluye transporte terrestre para los sistematizadores. 5 personas hacen dos visitas de 3 días a 4 sedes/municipios/</t>
  </si>
  <si>
    <t>Jornada de Inducción Implementador (Transporte aéreo)</t>
  </si>
  <si>
    <t>VALOR COMISIÓN</t>
  </si>
  <si>
    <t>VALOR TOTAL INCLUYENDO COMISIÓN 2%</t>
  </si>
  <si>
    <t>VALOR CDP</t>
  </si>
  <si>
    <t>DIFERENCIA RESPECTO AL CDP</t>
  </si>
  <si>
    <t>VR UNITARIO</t>
  </si>
  <si>
    <r>
      <rPr>
        <sz val="13"/>
        <rFont val="Arial Narrow"/>
        <family val="2"/>
      </rP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
</t>
    </r>
    <r>
      <rPr>
        <u/>
        <sz val="13"/>
        <rFont val="Arial Narrow"/>
        <family val="2"/>
      </rPr>
      <t>1 profesional por 4 sedes</t>
    </r>
  </si>
  <si>
    <r>
      <rPr>
        <sz val="13"/>
        <rFont val="Arial Narrow"/>
        <family val="2"/>
      </rPr>
      <t xml:space="preserve">Profesionales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</si>
  <si>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r>
      <rPr>
        <sz val="13"/>
        <rFont val="Arial Narrow"/>
        <family val="2"/>
      </rPr>
      <t>Bolsa de asistencia técnica a proyectos productivos 
1</t>
    </r>
    <r>
      <rPr>
        <u/>
        <sz val="13"/>
        <rFont val="Arial Narrow"/>
        <family val="2"/>
      </rPr>
      <t>0 horas por sede educativa</t>
    </r>
    <r>
      <rPr>
        <sz val="13"/>
        <rFont val="Arial Narrow"/>
        <family val="2"/>
      </rPr>
      <t xml:space="preserve">. Ver definición de experto en el enexo técnico </t>
    </r>
  </si>
  <si>
    <r>
      <rPr>
        <sz val="13"/>
        <rFont val="Arial Narrow"/>
        <family val="2"/>
      </rPr>
      <t xml:space="preserve"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
</t>
    </r>
    <r>
      <rPr>
        <u/>
        <sz val="13"/>
        <rFont val="Arial Narrow"/>
        <family val="2"/>
      </rPr>
      <t>1 profesional por 4 sedes</t>
    </r>
  </si>
  <si>
    <r>
      <rPr>
        <sz val="13"/>
        <rFont val="Arial Narrow"/>
        <family val="2"/>
      </rPr>
      <t xml:space="preserve">Profesionales en áreas administrativas o económicas o financieras o ciencias sociales y humanas o ingeniería o áreas de la educación. 
</t>
    </r>
    <r>
      <rPr>
        <u/>
        <sz val="13"/>
        <rFont val="Arial Narrow"/>
        <family val="2"/>
      </rPr>
      <t>1 profesional por 4 sedes</t>
    </r>
  </si>
  <si>
    <r>
      <rPr>
        <sz val="13"/>
        <rFont val="Arial Narrow"/>
        <family val="2"/>
      </rPr>
      <t>Bolsa de asistencia técnica a proyectos productivos 
1</t>
    </r>
    <r>
      <rPr>
        <u/>
        <sz val="13"/>
        <rFont val="Arial Narrow"/>
        <family val="2"/>
      </rPr>
      <t>0 horas por sede educativa</t>
    </r>
    <r>
      <rPr>
        <sz val="13"/>
        <rFont val="Arial Narrow"/>
        <family val="2"/>
      </rPr>
      <t xml:space="preserve">. Ver definición de experto en el enexo técnico </t>
    </r>
  </si>
  <si>
    <t>Se calcula transporte terrestre al 50%  de asistentes a los encuentros, es decir, a 20 personas por encuentro</t>
  </si>
  <si>
    <t>Asistencia técnica a Secretarías de Educación</t>
  </si>
  <si>
    <t>Dos profesionales que van a la sede 3 veces por 4 días. 
Incluye solo viáticos (hospedaje y alimentación)</t>
  </si>
  <si>
    <t>Paquete de Materiales fungibles por sede (40) que contenga:
Marcadores borrables - Caja x 10
Tijeras - Unidad
Cinta de enmascarar - unidad
Marcadores permanentes - caja x12
Papel Bond - X 50 HOJAS
Papel kraft rollo de 30 cms de alto - unidad 
Ovillos de Lana Diferentes colores - Unidad
Impresiones - UNIDAD NEGRO Y BLANCO CARTA</t>
  </si>
  <si>
    <t>Rueda de negocios por cada municipio. Incluye: 
* 1 pendón por cada sede (40 sedes)
* 60 refrigerios por sede (40 sedes)</t>
  </si>
  <si>
    <t>Cada sistematizador realizará 3 visitas a 3 escuelas durante 2 días. 
Nota: Incluye solo viáticos (hospedaje y alimentación)</t>
  </si>
  <si>
    <t xml:space="preserve">Viáticos para 3 personas del equipo implementador por 1,5 días. El implementador se desplaza al MEN (Bogotá) </t>
  </si>
  <si>
    <t xml:space="preserve">Transporte aéreo para 3 personas del equipo implementador por 1,5 días. El implementador se desplaza al MEN (Bogotá) </t>
  </si>
  <si>
    <t>Profesionales en áreas relacionadas con la producción rurales como agronomía o veterinaria o zootecnia o ingeniería agropecuaria o ingeniería agroindustrial o agroecología o ingeniería agroambiental o ingeniería agroforestal o ingeniería agrícola o ingeniería de alimentos o afines con 7 - 11 meses de Experiencia Profesional.</t>
  </si>
  <si>
    <t>Profesionales en áreas de la educación o Ciencias Sociales y Humanas, con 7 - 11 meses de Experiencia Profesional.</t>
  </si>
  <si>
    <t xml:space="preserve">3 espacios de encuentro por municipio para caracterización y socialización de la propuesta.
Participación de 40 personas cada uno. 
El encuentro será de 6 horas 
Se costea refrigerio, almuerzo y salón. </t>
  </si>
  <si>
    <t xml:space="preserve">Transporte aéreo y terrestre para garantizar 1 espacio de acompañamiento en la Secretaría de Educación Certificada (12) de cada municipio (40 municipios) por 2 profesionales. 
Duración: 4 horas. </t>
  </si>
  <si>
    <t>3 ciclos de formación por sede:
* Van 3 veces a la sede por 4 días para el ejercicio de formación. La duración es de medio día. Número de participantes: 70 participantes por sede educativa. (40 sedes)
* Van 3 veces a la sede por 4 días para realizar acompañamiento en PEI. Número de participantes: 20 por sede educativa (40 sedes)
Incluye únicamente el costo de un refrigerio diario por participante</t>
  </si>
  <si>
    <t xml:space="preserve">Certificados del proceso de Formación por 3170 participantes </t>
  </si>
  <si>
    <r>
      <rPr>
        <sz val="13"/>
        <color rgb="FF000000"/>
        <rFont val="Arial Narrow"/>
        <family val="2"/>
      </rPr>
      <t xml:space="preserve">Horas de asistencia técnica a proyectos productivos 
</t>
    </r>
    <r>
      <rPr>
        <u/>
        <sz val="13"/>
        <color rgb="FF000000"/>
        <rFont val="Arial Narrow"/>
        <family val="2"/>
      </rPr>
      <t>10 horas por sede educativa</t>
    </r>
    <r>
      <rPr>
        <sz val="13"/>
        <color rgb="FF000000"/>
        <rFont val="Arial Narrow"/>
        <family val="2"/>
      </rPr>
      <t xml:space="preserve">. Ver definición de experto en el enexo técnico </t>
    </r>
  </si>
  <si>
    <t>Sistematización del proceso (Transporte terrestre+aéreo)</t>
  </si>
  <si>
    <t>Se realizarán visitas a los encuentros programados y las escuelas para la sistematización de todo el proceso. Este rubro incluye transporte terrestre para los sistematizadores. (2 personas realizan 3 visitas a 3 sedes x dos días)</t>
  </si>
  <si>
    <t>Profesional en administración, ciencias económicas, ciencias humanas o sociales, áreas administrativas o financieras
Título de posgrado en ciencias de la educación o ciencias sociales y humanas o áreas relacionadas con el desarrollo rural con 48 - 60 meses de Experiencia Profesional.  En caso de no contar con título de posgrado se deben certificar veinticuatro (24) meses de experiencia adicional a la experiencia relacionada.</t>
  </si>
  <si>
    <t>Profesional en áreas administrativas o económicas o financiera o de ciencias del derecho, sociales, políticas o  humanas o ingeniería o áreas de la educación.
Título de posgrado en temas sociales y/o educación o áreas administrativas, con 48 - 60 meses de Experiencia Profesional. En caso de no contar con título de posgrado se tendrá como equivalencia dos (2) años de experiencia adicional, siempre y cuando esa experiencia sea afín con el objeto de la contratación.</t>
  </si>
  <si>
    <r>
      <t xml:space="preserve">Profesionales en áreas administrativas o económicas o financieras o ciencias sociales y humanas o ingeniería o áreas de la educación, con 7 - 11 meses de Experiencia Profesional. 
</t>
    </r>
    <r>
      <rPr>
        <u/>
        <sz val="13"/>
        <rFont val="Arial Narrow"/>
        <family val="2"/>
      </rPr>
      <t>1 profesional por 20 sedes</t>
    </r>
  </si>
  <si>
    <r>
      <t xml:space="preserve">Profesionales en Ciencias sociales, ciencias humanas o económicas, con 7 - 11 meses de Experiencia Profesional.
</t>
    </r>
    <r>
      <rPr>
        <u/>
        <sz val="13"/>
        <color rgb="FF000000"/>
        <rFont val="Arial Narrow"/>
        <family val="2"/>
      </rPr>
      <t>1 profesional por 20 sedes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</si>
</sst>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8" formatCode="_-[$$-240A]\ * #,##0.00_-;\-[$$-240A]\ * #,##0.00_-;_-[$$-240A]\ * &quot;-&quot;??_-;_-@"/>
    <numFmt numFmtId="169" formatCode="_-[$$-240A]\ * #,##0_-;\-[$$-240A]\ * #,##0_-;_-[$$-240A]\ * &quot;-&quot;??_-;_-@"/>
    <numFmt numFmtId="170" formatCode="_-* #,##0_-;\-* #,##0_-;_-* &quot;-&quot;??_-;_-@"/>
    <numFmt numFmtId="171" formatCode="0.0%"/>
    <numFmt numFmtId="174" formatCode="_-* #,##0.00_-;\-* #,##0.00_-;_-* &quot;-&quot;??_-;_-@"/>
    <numFmt numFmtId="177" formatCode="_-* #,##0.00\ _€_-;\-* #,##0.00\ _€_-;_-* &quot;-&quot;??\ _€_-;_-@"/>
  </numFmts>
  <fonts count="10" x14ac:knownFonts="1">
    <font>
      <sz val="11"/>
      <name val="Calibri"/>
      <scheme val="minor"/>
    </font>
    <font>
      <sz val="11"/>
      <name val="Calibri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3"/>
      <color rgb="FF000000"/>
      <name val="Arial Narrow"/>
      <family val="2"/>
    </font>
    <font>
      <u/>
      <sz val="13"/>
      <name val="Arial Narrow"/>
      <family val="2"/>
    </font>
    <font>
      <u/>
      <sz val="13"/>
      <color rgb="FF000000"/>
      <name val="Arial Narrow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8EAADB"/>
        <bgColor rgb="FF8EAADB"/>
      </patternFill>
    </fill>
    <fill>
      <patternFill patternType="solid">
        <fgColor rgb="FFFEF2CB"/>
        <bgColor rgb="FFFEF2CB"/>
      </patternFill>
    </fill>
    <fill>
      <patternFill patternType="solid">
        <fgColor rgb="FF1F3864"/>
        <bgColor rgb="FF1F38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168" fontId="3" fillId="6" borderId="7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2" fontId="4" fillId="0" borderId="19" xfId="0" applyNumberFormat="1" applyFont="1" applyBorder="1" applyAlignment="1">
      <alignment horizontal="center" vertical="center"/>
    </xf>
    <xf numFmtId="169" fontId="4" fillId="7" borderId="19" xfId="0" applyNumberFormat="1" applyFont="1" applyFill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69" fontId="2" fillId="0" borderId="0" xfId="0" applyNumberFormat="1" applyFont="1"/>
    <xf numFmtId="168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9" fontId="4" fillId="7" borderId="1" xfId="0" applyNumberFormat="1" applyFont="1" applyFill="1" applyBorder="1" applyAlignment="1">
      <alignment vertical="center"/>
    </xf>
    <xf numFmtId="169" fontId="4" fillId="0" borderId="22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" fontId="2" fillId="0" borderId="0" xfId="0" applyNumberFormat="1" applyFont="1"/>
    <xf numFmtId="170" fontId="4" fillId="0" borderId="1" xfId="0" applyNumberFormat="1" applyFont="1" applyBorder="1" applyAlignment="1">
      <alignment horizontal="center" vertical="center"/>
    </xf>
    <xf numFmtId="169" fontId="3" fillId="6" borderId="7" xfId="0" applyNumberFormat="1" applyFont="1" applyFill="1" applyBorder="1" applyAlignment="1">
      <alignment vertical="center"/>
    </xf>
    <xf numFmtId="169" fontId="3" fillId="6" borderId="27" xfId="0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9" fontId="3" fillId="6" borderId="31" xfId="0" applyNumberFormat="1" applyFont="1" applyFill="1" applyBorder="1" applyAlignment="1">
      <alignment vertical="center"/>
    </xf>
    <xf numFmtId="169" fontId="3" fillId="6" borderId="32" xfId="0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9" fontId="4" fillId="7" borderId="34" xfId="0" applyNumberFormat="1" applyFont="1" applyFill="1" applyBorder="1" applyAlignment="1">
      <alignment vertical="center"/>
    </xf>
    <xf numFmtId="169" fontId="4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169" fontId="5" fillId="0" borderId="8" xfId="0" applyNumberFormat="1" applyFont="1" applyBorder="1" applyAlignment="1">
      <alignment vertical="center"/>
    </xf>
    <xf numFmtId="169" fontId="3" fillId="3" borderId="19" xfId="0" applyNumberFormat="1" applyFont="1" applyFill="1" applyBorder="1" applyAlignment="1">
      <alignment horizontal="center" vertical="center"/>
    </xf>
    <xf numFmtId="169" fontId="3" fillId="3" borderId="20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69" fontId="4" fillId="3" borderId="1" xfId="0" applyNumberFormat="1" applyFont="1" applyFill="1" applyBorder="1" applyAlignment="1">
      <alignment vertical="center"/>
    </xf>
    <xf numFmtId="169" fontId="4" fillId="3" borderId="22" xfId="0" applyNumberFormat="1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1" fontId="4" fillId="2" borderId="1" xfId="0" applyNumberFormat="1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vertical="center" wrapText="1"/>
    </xf>
    <xf numFmtId="0" fontId="2" fillId="8" borderId="31" xfId="0" applyFont="1" applyFill="1" applyBorder="1" applyAlignment="1">
      <alignment horizontal="center" vertical="center"/>
    </xf>
    <xf numFmtId="169" fontId="2" fillId="8" borderId="31" xfId="0" applyNumberFormat="1" applyFont="1" applyFill="1" applyBorder="1" applyAlignment="1">
      <alignment vertical="center"/>
    </xf>
    <xf numFmtId="169" fontId="5" fillId="8" borderId="32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9" fontId="3" fillId="6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8" fontId="3" fillId="6" borderId="44" xfId="0" applyNumberFormat="1" applyFont="1" applyFill="1" applyBorder="1" applyAlignment="1">
      <alignment horizontal="center" vertical="center" wrapText="1"/>
    </xf>
    <xf numFmtId="168" fontId="3" fillId="0" borderId="17" xfId="0" applyNumberFormat="1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169" fontId="4" fillId="4" borderId="1" xfId="0" applyNumberFormat="1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vertical="center"/>
    </xf>
    <xf numFmtId="169" fontId="4" fillId="4" borderId="8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169" fontId="4" fillId="4" borderId="8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9" fontId="5" fillId="0" borderId="0" xfId="0" applyNumberFormat="1" applyFont="1" applyAlignment="1">
      <alignment vertical="center"/>
    </xf>
    <xf numFmtId="169" fontId="3" fillId="3" borderId="1" xfId="0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69" fontId="5" fillId="8" borderId="8" xfId="0" applyNumberFormat="1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horizontal="center" vertical="center"/>
    </xf>
    <xf numFmtId="170" fontId="2" fillId="0" borderId="0" xfId="0" applyNumberFormat="1" applyFont="1"/>
    <xf numFmtId="3" fontId="2" fillId="0" borderId="0" xfId="0" applyNumberFormat="1" applyFont="1"/>
    <xf numFmtId="174" fontId="4" fillId="0" borderId="1" xfId="0" applyNumberFormat="1" applyFont="1" applyBorder="1" applyAlignment="1">
      <alignment vertical="center"/>
    </xf>
    <xf numFmtId="174" fontId="3" fillId="6" borderId="1" xfId="0" applyNumberFormat="1" applyFont="1" applyFill="1" applyBorder="1" applyAlignment="1">
      <alignment vertical="center"/>
    </xf>
    <xf numFmtId="17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4" fontId="5" fillId="0" borderId="8" xfId="0" applyNumberFormat="1" applyFont="1" applyBorder="1" applyAlignment="1">
      <alignment vertical="center"/>
    </xf>
    <xf numFmtId="174" fontId="3" fillId="3" borderId="19" xfId="0" applyNumberFormat="1" applyFont="1" applyFill="1" applyBorder="1" applyAlignment="1">
      <alignment horizontal="center" vertical="center"/>
    </xf>
    <xf numFmtId="174" fontId="4" fillId="3" borderId="1" xfId="0" applyNumberFormat="1" applyFont="1" applyFill="1" applyBorder="1" applyAlignment="1">
      <alignment vertical="center"/>
    </xf>
    <xf numFmtId="174" fontId="4" fillId="2" borderId="1" xfId="0" applyNumberFormat="1" applyFont="1" applyFill="1" applyBorder="1" applyAlignment="1">
      <alignment horizontal="center" vertical="center"/>
    </xf>
    <xf numFmtId="177" fontId="2" fillId="0" borderId="0" xfId="0" applyNumberFormat="1" applyFont="1"/>
    <xf numFmtId="174" fontId="5" fillId="8" borderId="8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9" fontId="2" fillId="0" borderId="0" xfId="0" applyNumberFormat="1" applyFont="1" applyAlignment="1">
      <alignment vertical="center"/>
    </xf>
    <xf numFmtId="0" fontId="1" fillId="0" borderId="6" xfId="0" applyFont="1" applyBorder="1"/>
    <xf numFmtId="0" fontId="1" fillId="0" borderId="4" xfId="0" applyFont="1" applyBorder="1"/>
    <xf numFmtId="0" fontId="1" fillId="0" borderId="3" xfId="0" applyFont="1" applyBorder="1"/>
    <xf numFmtId="0" fontId="3" fillId="3" borderId="37" xfId="0" applyFont="1" applyFill="1" applyBorder="1" applyAlignment="1">
      <alignment horizontal="right" vertical="center"/>
    </xf>
    <xf numFmtId="0" fontId="1" fillId="0" borderId="38" xfId="0" applyFont="1" applyBorder="1"/>
    <xf numFmtId="0" fontId="1" fillId="0" borderId="39" xfId="0" applyFont="1" applyBorder="1"/>
    <xf numFmtId="0" fontId="3" fillId="6" borderId="24" xfId="0" applyFont="1" applyFill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0" fontId="5" fillId="0" borderId="18" xfId="0" applyFont="1" applyBorder="1" applyAlignment="1">
      <alignment horizontal="center" vertical="center" wrapText="1"/>
    </xf>
    <xf numFmtId="0" fontId="1" fillId="0" borderId="23" xfId="0" applyFont="1" applyBorder="1"/>
    <xf numFmtId="0" fontId="3" fillId="6" borderId="28" xfId="0" applyFont="1" applyFill="1" applyBorder="1" applyAlignment="1">
      <alignment horizontal="right" vertical="center"/>
    </xf>
    <xf numFmtId="0" fontId="1" fillId="0" borderId="29" xfId="0" applyFont="1" applyBorder="1"/>
    <xf numFmtId="0" fontId="1" fillId="0" borderId="30" xfId="0" applyFont="1" applyBorder="1"/>
    <xf numFmtId="0" fontId="3" fillId="5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3" fillId="5" borderId="12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1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7" xfId="0" applyFont="1" applyBorder="1"/>
    <xf numFmtId="0" fontId="1" fillId="0" borderId="21" xfId="0" applyFont="1" applyBorder="1"/>
    <xf numFmtId="0" fontId="5" fillId="0" borderId="2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right" vertical="center"/>
    </xf>
    <xf numFmtId="0" fontId="1" fillId="0" borderId="33" xfId="0" applyFont="1" applyBorder="1"/>
    <xf numFmtId="0" fontId="1" fillId="0" borderId="42" xfId="0" applyFont="1" applyBorder="1"/>
    <xf numFmtId="0" fontId="1" fillId="0" borderId="43" xfId="0" applyFont="1" applyBorder="1"/>
    <xf numFmtId="0" fontId="3" fillId="6" borderId="45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workbookViewId="0"/>
  </sheetViews>
  <sheetFormatPr baseColWidth="10" defaultColWidth="12.6640625" defaultRowHeight="15" customHeight="1" x14ac:dyDescent="0.2"/>
  <cols>
    <col min="1" max="1" width="18.1640625" customWidth="1"/>
    <col min="2" max="2" width="11.1640625" customWidth="1"/>
    <col min="3" max="3" width="22.6640625" customWidth="1"/>
    <col min="4" max="4" width="41.83203125" customWidth="1"/>
    <col min="5" max="5" width="17" customWidth="1"/>
    <col min="6" max="6" width="8.1640625" customWidth="1"/>
    <col min="7" max="7" width="14" customWidth="1"/>
    <col min="8" max="8" width="21.33203125" customWidth="1"/>
    <col min="9" max="9" width="10" customWidth="1"/>
    <col min="10" max="10" width="11.1640625" customWidth="1"/>
    <col min="11" max="12" width="14" customWidth="1"/>
    <col min="13" max="13" width="15.6640625" customWidth="1"/>
    <col min="14" max="15" width="10" customWidth="1"/>
  </cols>
  <sheetData>
    <row r="1" spans="1:15" ht="47.25" customHeight="1" x14ac:dyDescent="0.2">
      <c r="A1" s="1"/>
      <c r="B1" s="114" t="s">
        <v>0</v>
      </c>
      <c r="C1" s="115"/>
      <c r="D1" s="115"/>
      <c r="E1" s="115"/>
      <c r="F1" s="115"/>
      <c r="G1" s="115"/>
      <c r="H1" s="116"/>
      <c r="I1" s="1"/>
      <c r="J1" s="1"/>
      <c r="K1" s="1"/>
      <c r="L1" s="1"/>
      <c r="M1" s="1"/>
      <c r="N1" s="1"/>
      <c r="O1" s="1"/>
    </row>
    <row r="2" spans="1:15" ht="16.5" customHeight="1" x14ac:dyDescent="0.2">
      <c r="A2" s="1"/>
      <c r="B2" s="117" t="s">
        <v>1</v>
      </c>
      <c r="C2" s="118"/>
      <c r="D2" s="121"/>
      <c r="E2" s="122"/>
      <c r="F2" s="122"/>
      <c r="G2" s="122"/>
      <c r="H2" s="118"/>
      <c r="I2" s="1"/>
      <c r="J2" s="1"/>
      <c r="K2" s="1"/>
      <c r="L2" s="1"/>
      <c r="M2" s="1"/>
      <c r="N2" s="1"/>
      <c r="O2" s="1"/>
    </row>
    <row r="3" spans="1:15" ht="16.5" customHeight="1" x14ac:dyDescent="0.2">
      <c r="A3" s="1"/>
      <c r="B3" s="119"/>
      <c r="C3" s="120"/>
      <c r="D3" s="119"/>
      <c r="E3" s="123"/>
      <c r="F3" s="123"/>
      <c r="G3" s="123"/>
      <c r="H3" s="120"/>
      <c r="I3" s="1"/>
      <c r="J3" s="1"/>
      <c r="K3" s="1"/>
      <c r="L3" s="1"/>
      <c r="M3" s="1"/>
      <c r="N3" s="1"/>
      <c r="O3" s="1"/>
    </row>
    <row r="4" spans="1:15" ht="16.5" customHeight="1" x14ac:dyDescent="0.2">
      <c r="A4" s="1"/>
      <c r="B4" s="2"/>
      <c r="C4" s="2"/>
      <c r="D4" s="3"/>
      <c r="E4" s="4"/>
      <c r="F4" s="4"/>
      <c r="G4" s="5"/>
      <c r="H4" s="5"/>
      <c r="I4" s="1"/>
      <c r="J4" s="1"/>
      <c r="K4" s="1"/>
      <c r="L4" s="1"/>
      <c r="M4" s="1"/>
      <c r="N4" s="1"/>
      <c r="O4" s="1"/>
    </row>
    <row r="5" spans="1:15" ht="16.5" customHeight="1" x14ac:dyDescent="0.2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8" t="s">
        <v>8</v>
      </c>
      <c r="H5" s="8" t="s">
        <v>9</v>
      </c>
      <c r="I5" s="1"/>
      <c r="J5" s="1"/>
      <c r="K5" s="1"/>
      <c r="L5" s="1"/>
      <c r="M5" s="1"/>
      <c r="N5" s="1"/>
      <c r="O5" s="1"/>
    </row>
    <row r="6" spans="1:15" ht="16.5" customHeight="1" x14ac:dyDescent="0.2">
      <c r="A6" s="109" t="s">
        <v>10</v>
      </c>
      <c r="B6" s="9">
        <v>1.1000000000000001</v>
      </c>
      <c r="C6" s="10" t="s">
        <v>11</v>
      </c>
      <c r="D6" s="10" t="s">
        <v>12</v>
      </c>
      <c r="E6" s="9">
        <v>1</v>
      </c>
      <c r="F6" s="11">
        <v>7.5</v>
      </c>
      <c r="G6" s="12">
        <v>8590000</v>
      </c>
      <c r="H6" s="13">
        <f t="shared" ref="H6:H11" si="0">G6*E6*F6</f>
        <v>64425000</v>
      </c>
      <c r="I6" s="1"/>
      <c r="J6" s="1"/>
      <c r="K6" s="14"/>
      <c r="L6" s="14"/>
      <c r="M6" s="15"/>
      <c r="N6" s="1"/>
      <c r="O6" s="1"/>
    </row>
    <row r="7" spans="1:15" ht="16.5" customHeight="1" x14ac:dyDescent="0.2">
      <c r="A7" s="124"/>
      <c r="B7" s="16">
        <v>1.2</v>
      </c>
      <c r="C7" s="17" t="s">
        <v>13</v>
      </c>
      <c r="D7" s="17" t="s">
        <v>14</v>
      </c>
      <c r="E7" s="16">
        <v>1</v>
      </c>
      <c r="F7" s="11">
        <v>7.5</v>
      </c>
      <c r="G7" s="18">
        <v>8590000</v>
      </c>
      <c r="H7" s="19">
        <f t="shared" si="0"/>
        <v>64425000</v>
      </c>
      <c r="I7" s="1"/>
      <c r="J7" s="1"/>
      <c r="K7" s="1"/>
      <c r="L7" s="15"/>
      <c r="M7" s="1"/>
      <c r="N7" s="1">
        <v>395600</v>
      </c>
      <c r="O7" s="1">
        <v>223600</v>
      </c>
    </row>
    <row r="8" spans="1:15" ht="16.5" customHeight="1" x14ac:dyDescent="0.2">
      <c r="A8" s="124"/>
      <c r="B8" s="16">
        <v>1.3</v>
      </c>
      <c r="C8" s="17" t="s">
        <v>15</v>
      </c>
      <c r="D8" s="17" t="s">
        <v>16</v>
      </c>
      <c r="E8" s="16">
        <v>10</v>
      </c>
      <c r="F8" s="11">
        <v>7.5</v>
      </c>
      <c r="G8" s="20">
        <v>4919200</v>
      </c>
      <c r="H8" s="19">
        <f t="shared" si="0"/>
        <v>368940000</v>
      </c>
      <c r="I8" s="1"/>
      <c r="J8" s="1"/>
      <c r="K8" s="1"/>
      <c r="L8" s="21"/>
      <c r="M8" s="1">
        <f>N7+4300000+O7</f>
        <v>4919200</v>
      </c>
      <c r="N8" s="1">
        <v>100</v>
      </c>
      <c r="O8" s="21"/>
    </row>
    <row r="9" spans="1:15" ht="16.5" customHeight="1" x14ac:dyDescent="0.2">
      <c r="A9" s="124"/>
      <c r="B9" s="16">
        <v>1.4</v>
      </c>
      <c r="C9" s="17" t="s">
        <v>17</v>
      </c>
      <c r="D9" s="17" t="s">
        <v>18</v>
      </c>
      <c r="E9" s="16">
        <v>5</v>
      </c>
      <c r="F9" s="11">
        <v>7.5</v>
      </c>
      <c r="G9" s="18">
        <v>4919200</v>
      </c>
      <c r="H9" s="19">
        <f t="shared" si="0"/>
        <v>184470000</v>
      </c>
      <c r="I9" s="1"/>
      <c r="J9" s="1"/>
      <c r="K9" s="1"/>
      <c r="L9" s="1"/>
      <c r="M9" s="1">
        <f>N9*M8/N8</f>
        <v>255798.39999999999</v>
      </c>
      <c r="N9" s="1">
        <v>5.2</v>
      </c>
      <c r="O9" s="1"/>
    </row>
    <row r="10" spans="1:15" ht="16.5" customHeight="1" x14ac:dyDescent="0.2">
      <c r="A10" s="124"/>
      <c r="B10" s="16">
        <v>1.5</v>
      </c>
      <c r="C10" s="17" t="s">
        <v>19</v>
      </c>
      <c r="D10" s="17" t="s">
        <v>20</v>
      </c>
      <c r="E10" s="16">
        <v>5</v>
      </c>
      <c r="F10" s="11">
        <v>7.5</v>
      </c>
      <c r="G10" s="18">
        <v>4919200</v>
      </c>
      <c r="H10" s="19">
        <f t="shared" si="0"/>
        <v>184470000</v>
      </c>
      <c r="I10" s="1"/>
      <c r="J10" s="15"/>
      <c r="K10" s="1"/>
      <c r="L10" s="1"/>
      <c r="M10" s="1"/>
      <c r="N10" s="1"/>
      <c r="O10" s="1"/>
    </row>
    <row r="11" spans="1:15" ht="33" customHeight="1" x14ac:dyDescent="0.2">
      <c r="A11" s="124"/>
      <c r="B11" s="16">
        <v>1.6</v>
      </c>
      <c r="C11" s="17" t="s">
        <v>21</v>
      </c>
      <c r="D11" s="17" t="s">
        <v>22</v>
      </c>
      <c r="E11" s="16">
        <v>1</v>
      </c>
      <c r="F11" s="22">
        <v>120</v>
      </c>
      <c r="G11" s="18"/>
      <c r="H11" s="19">
        <f t="shared" si="0"/>
        <v>0</v>
      </c>
      <c r="I11" s="1"/>
      <c r="J11" s="1"/>
      <c r="K11" s="1"/>
      <c r="L11" s="1"/>
      <c r="M11" s="1"/>
      <c r="N11" s="1"/>
      <c r="O11" s="1"/>
    </row>
    <row r="12" spans="1:15" ht="33" customHeight="1" x14ac:dyDescent="0.2">
      <c r="A12" s="124"/>
      <c r="B12" s="16">
        <v>1.7</v>
      </c>
      <c r="C12" s="17" t="s">
        <v>23</v>
      </c>
      <c r="D12" s="17" t="s">
        <v>24</v>
      </c>
      <c r="E12" s="16"/>
      <c r="F12" s="22"/>
      <c r="G12" s="18"/>
      <c r="H12" s="19"/>
      <c r="I12" s="1"/>
      <c r="J12" s="1"/>
      <c r="K12" s="1"/>
      <c r="L12" s="1"/>
      <c r="M12" s="1"/>
      <c r="N12" s="1"/>
      <c r="O12" s="1"/>
    </row>
    <row r="13" spans="1:15" ht="46.5" customHeight="1" x14ac:dyDescent="0.2">
      <c r="A13" s="110"/>
      <c r="B13" s="16">
        <v>1.8</v>
      </c>
      <c r="C13" s="17" t="s">
        <v>25</v>
      </c>
      <c r="D13" s="17" t="s">
        <v>26</v>
      </c>
      <c r="E13" s="16">
        <v>10</v>
      </c>
      <c r="F13" s="22">
        <v>4</v>
      </c>
      <c r="G13" s="18">
        <v>4919200</v>
      </c>
      <c r="H13" s="19">
        <f>G13*E13*F13</f>
        <v>196768000</v>
      </c>
      <c r="I13" s="1"/>
      <c r="J13" s="1"/>
      <c r="K13" s="1"/>
      <c r="L13" s="1"/>
      <c r="M13" s="1"/>
      <c r="N13" s="1"/>
      <c r="O13" s="1"/>
    </row>
    <row r="14" spans="1:15" ht="16.5" customHeight="1" x14ac:dyDescent="0.2">
      <c r="A14" s="106" t="s">
        <v>27</v>
      </c>
      <c r="B14" s="107"/>
      <c r="C14" s="107"/>
      <c r="D14" s="107"/>
      <c r="E14" s="107"/>
      <c r="F14" s="108"/>
      <c r="G14" s="23">
        <f t="shared" ref="G14:H14" si="1">SUM(G6:G13)</f>
        <v>36856800</v>
      </c>
      <c r="H14" s="24">
        <f t="shared" si="1"/>
        <v>1063498000</v>
      </c>
      <c r="I14" s="1"/>
      <c r="J14" s="1"/>
      <c r="K14" s="1"/>
      <c r="L14" s="1"/>
      <c r="M14" s="1"/>
      <c r="N14" s="1"/>
      <c r="O14" s="1"/>
    </row>
    <row r="15" spans="1:15" ht="16.5" customHeight="1" x14ac:dyDescent="0.2">
      <c r="A15" s="109" t="s">
        <v>28</v>
      </c>
      <c r="B15" s="9" t="s">
        <v>29</v>
      </c>
      <c r="C15" s="10" t="s">
        <v>30</v>
      </c>
      <c r="D15" s="25" t="s">
        <v>31</v>
      </c>
      <c r="E15" s="9">
        <f>40*20</f>
        <v>800</v>
      </c>
      <c r="F15" s="9">
        <v>1</v>
      </c>
      <c r="G15" s="12">
        <v>3800000</v>
      </c>
      <c r="H15" s="13">
        <f t="shared" ref="H15:H18" si="2">G15*E15</f>
        <v>3040000000</v>
      </c>
      <c r="I15" s="1"/>
      <c r="J15" s="26"/>
      <c r="K15" s="1"/>
      <c r="L15" s="1"/>
      <c r="M15" s="1"/>
      <c r="N15" s="1"/>
      <c r="O15" s="1"/>
    </row>
    <row r="16" spans="1:15" ht="87" customHeight="1" x14ac:dyDescent="0.2">
      <c r="A16" s="124"/>
      <c r="B16" s="16" t="s">
        <v>32</v>
      </c>
      <c r="C16" s="17" t="s">
        <v>33</v>
      </c>
      <c r="D16" s="17" t="s">
        <v>34</v>
      </c>
      <c r="E16" s="16"/>
      <c r="F16" s="16">
        <v>3</v>
      </c>
      <c r="G16" s="12">
        <v>3800000</v>
      </c>
      <c r="H16" s="19">
        <f t="shared" si="2"/>
        <v>0</v>
      </c>
      <c r="I16" s="1"/>
      <c r="J16" s="1"/>
      <c r="K16" s="1"/>
      <c r="L16" s="1"/>
      <c r="M16" s="1"/>
      <c r="N16" s="1"/>
      <c r="O16" s="1"/>
    </row>
    <row r="17" spans="1:15" ht="179.25" customHeight="1" x14ac:dyDescent="0.2">
      <c r="A17" s="124"/>
      <c r="B17" s="16" t="s">
        <v>35</v>
      </c>
      <c r="C17" s="17" t="s">
        <v>36</v>
      </c>
      <c r="D17" s="27" t="s">
        <v>37</v>
      </c>
      <c r="E17" s="16"/>
      <c r="F17" s="16">
        <v>3</v>
      </c>
      <c r="G17" s="12">
        <v>3800000</v>
      </c>
      <c r="H17" s="19">
        <f t="shared" si="2"/>
        <v>0</v>
      </c>
      <c r="I17" s="1"/>
      <c r="J17" s="1"/>
      <c r="K17" s="1"/>
      <c r="L17" s="1"/>
      <c r="M17" s="1"/>
      <c r="N17" s="1"/>
      <c r="O17" s="1"/>
    </row>
    <row r="18" spans="1:15" ht="173.25" customHeight="1" x14ac:dyDescent="0.2">
      <c r="A18" s="110"/>
      <c r="B18" s="16" t="s">
        <v>38</v>
      </c>
      <c r="C18" s="17" t="s">
        <v>39</v>
      </c>
      <c r="D18" s="17" t="s">
        <v>40</v>
      </c>
      <c r="E18" s="16">
        <f>1*20</f>
        <v>20</v>
      </c>
      <c r="F18" s="16">
        <v>2</v>
      </c>
      <c r="G18" s="18">
        <v>10000000</v>
      </c>
      <c r="H18" s="19">
        <f t="shared" si="2"/>
        <v>200000000</v>
      </c>
      <c r="I18" s="1"/>
      <c r="J18" s="1"/>
      <c r="K18" s="1"/>
      <c r="L18" s="1"/>
      <c r="M18" s="1"/>
      <c r="N18" s="1"/>
      <c r="O18" s="1"/>
    </row>
    <row r="19" spans="1:15" ht="16.5" customHeight="1" x14ac:dyDescent="0.2">
      <c r="A19" s="106" t="s">
        <v>41</v>
      </c>
      <c r="B19" s="107"/>
      <c r="C19" s="107"/>
      <c r="D19" s="107"/>
      <c r="E19" s="107"/>
      <c r="F19" s="108"/>
      <c r="G19" s="23">
        <f t="shared" ref="G19:H19" si="3">SUM(G15:G18)</f>
        <v>21400000</v>
      </c>
      <c r="H19" s="24">
        <f t="shared" si="3"/>
        <v>3240000000</v>
      </c>
      <c r="I19" s="1"/>
      <c r="J19" s="1"/>
      <c r="K19" s="1"/>
      <c r="L19" s="1"/>
      <c r="M19" s="1"/>
      <c r="N19" s="1"/>
      <c r="O19" s="1"/>
    </row>
    <row r="20" spans="1:15" ht="16.5" customHeight="1" x14ac:dyDescent="0.2">
      <c r="A20" s="109" t="s">
        <v>42</v>
      </c>
      <c r="B20" s="9">
        <v>3.1</v>
      </c>
      <c r="C20" s="28" t="s">
        <v>43</v>
      </c>
      <c r="D20" s="28" t="s">
        <v>44</v>
      </c>
      <c r="E20" s="9">
        <f t="shared" ref="E20:E21" si="4">3*20</f>
        <v>60</v>
      </c>
      <c r="F20" s="9">
        <v>3</v>
      </c>
      <c r="G20" s="12">
        <v>3800000</v>
      </c>
      <c r="H20" s="13">
        <f t="shared" ref="H20:H21" si="5">G20*E20</f>
        <v>228000000</v>
      </c>
      <c r="I20" s="1"/>
      <c r="J20" s="1"/>
      <c r="K20" s="1"/>
      <c r="L20" s="1"/>
      <c r="M20" s="1"/>
      <c r="N20" s="1"/>
      <c r="O20" s="1"/>
    </row>
    <row r="21" spans="1:15" ht="213.75" customHeight="1" x14ac:dyDescent="0.2">
      <c r="A21" s="110"/>
      <c r="B21" s="16">
        <v>3.2</v>
      </c>
      <c r="C21" s="17" t="s">
        <v>45</v>
      </c>
      <c r="D21" s="29" t="s">
        <v>46</v>
      </c>
      <c r="E21" s="16">
        <f t="shared" si="4"/>
        <v>60</v>
      </c>
      <c r="F21" s="16">
        <v>6</v>
      </c>
      <c r="G21" s="12">
        <v>3800000</v>
      </c>
      <c r="H21" s="19">
        <f t="shared" si="5"/>
        <v>228000000</v>
      </c>
      <c r="I21" s="1"/>
      <c r="J21" s="1"/>
      <c r="K21" s="1"/>
      <c r="L21" s="1"/>
      <c r="M21" s="1"/>
      <c r="N21" s="1"/>
      <c r="O21" s="1"/>
    </row>
    <row r="22" spans="1:15" ht="16.5" customHeight="1" x14ac:dyDescent="0.2">
      <c r="A22" s="106" t="s">
        <v>47</v>
      </c>
      <c r="B22" s="107"/>
      <c r="C22" s="107"/>
      <c r="D22" s="107"/>
      <c r="E22" s="107"/>
      <c r="F22" s="108"/>
      <c r="G22" s="23">
        <f>SUM(G21)</f>
        <v>3800000</v>
      </c>
      <c r="H22" s="24">
        <f>SUM(H21,H20)</f>
        <v>456000000</v>
      </c>
      <c r="I22" s="1"/>
      <c r="J22" s="1"/>
      <c r="K22" s="1"/>
      <c r="L22" s="1"/>
      <c r="M22" s="1"/>
      <c r="N22" s="1"/>
      <c r="O22" s="1"/>
    </row>
    <row r="23" spans="1:15" ht="16.5" customHeight="1" x14ac:dyDescent="0.2">
      <c r="A23" s="109" t="s">
        <v>48</v>
      </c>
      <c r="B23" s="9" t="s">
        <v>49</v>
      </c>
      <c r="C23" s="10" t="s">
        <v>50</v>
      </c>
      <c r="D23" s="10" t="s">
        <v>51</v>
      </c>
      <c r="E23" s="9">
        <v>30</v>
      </c>
      <c r="F23" s="11">
        <v>7.5</v>
      </c>
      <c r="G23" s="12">
        <f>1200000</f>
        <v>1200000</v>
      </c>
      <c r="H23" s="13">
        <f t="shared" ref="H23:H24" si="6">G23*E23</f>
        <v>36000000</v>
      </c>
      <c r="I23" s="1"/>
      <c r="J23" s="1"/>
      <c r="K23" s="1"/>
      <c r="L23" s="1"/>
      <c r="M23" s="1"/>
      <c r="N23" s="1"/>
      <c r="O23" s="1"/>
    </row>
    <row r="24" spans="1:15" ht="16.5" customHeight="1" x14ac:dyDescent="0.2">
      <c r="A24" s="110"/>
      <c r="B24" s="16" t="s">
        <v>52</v>
      </c>
      <c r="C24" s="17" t="s">
        <v>53</v>
      </c>
      <c r="D24" s="17" t="s">
        <v>54</v>
      </c>
      <c r="E24" s="16">
        <v>20</v>
      </c>
      <c r="F24" s="16">
        <v>1</v>
      </c>
      <c r="G24" s="18">
        <v>160000000</v>
      </c>
      <c r="H24" s="19">
        <f t="shared" si="6"/>
        <v>3200000000</v>
      </c>
      <c r="I24" s="1"/>
      <c r="J24" s="1"/>
      <c r="K24" s="1"/>
      <c r="L24" s="1"/>
      <c r="M24" s="1"/>
      <c r="N24" s="1"/>
      <c r="O24" s="1"/>
    </row>
    <row r="25" spans="1:15" ht="16.5" customHeight="1" x14ac:dyDescent="0.2">
      <c r="A25" s="111" t="s">
        <v>55</v>
      </c>
      <c r="B25" s="112"/>
      <c r="C25" s="112"/>
      <c r="D25" s="112"/>
      <c r="E25" s="112"/>
      <c r="F25" s="113"/>
      <c r="G25" s="30">
        <f t="shared" ref="G25:H25" si="7">SUM(G24,G23)</f>
        <v>161200000</v>
      </c>
      <c r="H25" s="31">
        <f t="shared" si="7"/>
        <v>3236000000</v>
      </c>
      <c r="I25" s="1"/>
      <c r="J25" s="1"/>
      <c r="K25" s="1"/>
      <c r="L25" s="1"/>
      <c r="M25" s="1"/>
      <c r="N25" s="1"/>
      <c r="O25" s="1"/>
    </row>
    <row r="26" spans="1:15" ht="16.5" customHeight="1" x14ac:dyDescent="0.2">
      <c r="A26" s="32" t="s">
        <v>56</v>
      </c>
      <c r="B26" s="33" t="s">
        <v>57</v>
      </c>
      <c r="C26" s="34" t="s">
        <v>58</v>
      </c>
      <c r="D26" s="35" t="s">
        <v>59</v>
      </c>
      <c r="E26" s="33">
        <v>70</v>
      </c>
      <c r="F26" s="33"/>
      <c r="G26" s="36">
        <v>1200000</v>
      </c>
      <c r="H26" s="37">
        <f>G26*E26</f>
        <v>84000000</v>
      </c>
      <c r="I26" s="1"/>
      <c r="J26" s="1"/>
      <c r="K26" s="1"/>
      <c r="L26" s="1"/>
      <c r="M26" s="1"/>
      <c r="N26" s="1"/>
      <c r="O26" s="1"/>
    </row>
    <row r="27" spans="1:15" ht="16.5" customHeight="1" x14ac:dyDescent="0.2">
      <c r="A27" s="111" t="s">
        <v>60</v>
      </c>
      <c r="B27" s="112"/>
      <c r="C27" s="112"/>
      <c r="D27" s="112"/>
      <c r="E27" s="112"/>
      <c r="F27" s="113"/>
      <c r="G27" s="30">
        <f t="shared" ref="G27:H27" si="8">SUM(G26)</f>
        <v>1200000</v>
      </c>
      <c r="H27" s="31">
        <f t="shared" si="8"/>
        <v>84000000</v>
      </c>
      <c r="I27" s="1"/>
      <c r="J27" s="1"/>
      <c r="K27" s="1"/>
      <c r="L27" s="1"/>
      <c r="M27" s="1"/>
      <c r="N27" s="1"/>
      <c r="O27" s="1"/>
    </row>
    <row r="28" spans="1:15" ht="33.75" customHeight="1" x14ac:dyDescent="0.2">
      <c r="A28" s="38" t="s">
        <v>61</v>
      </c>
      <c r="B28" s="9" t="s">
        <v>62</v>
      </c>
      <c r="C28" s="10" t="s">
        <v>63</v>
      </c>
      <c r="D28" s="10" t="s">
        <v>64</v>
      </c>
      <c r="E28" s="9">
        <v>4</v>
      </c>
      <c r="F28" s="9">
        <v>1</v>
      </c>
      <c r="G28" s="12">
        <v>574904.5</v>
      </c>
      <c r="H28" s="13">
        <f>+G28*E28</f>
        <v>2299618</v>
      </c>
      <c r="I28" s="1"/>
      <c r="J28" s="1"/>
      <c r="K28" s="1"/>
      <c r="L28" s="1"/>
      <c r="M28" s="1"/>
      <c r="N28" s="1"/>
      <c r="O28" s="1"/>
    </row>
    <row r="29" spans="1:15" ht="16.5" customHeight="1" x14ac:dyDescent="0.2">
      <c r="A29" s="111" t="s">
        <v>65</v>
      </c>
      <c r="B29" s="112"/>
      <c r="C29" s="112"/>
      <c r="D29" s="112"/>
      <c r="E29" s="112"/>
      <c r="F29" s="113"/>
      <c r="G29" s="30">
        <f t="shared" ref="G29:H29" si="9">SUM(G28)</f>
        <v>574904.5</v>
      </c>
      <c r="H29" s="31">
        <f t="shared" si="9"/>
        <v>2299618</v>
      </c>
      <c r="I29" s="1"/>
      <c r="J29" s="1"/>
      <c r="K29" s="1"/>
      <c r="L29" s="1"/>
      <c r="M29" s="1"/>
      <c r="N29" s="1"/>
      <c r="O29" s="1"/>
    </row>
    <row r="30" spans="1:15" ht="16.5" customHeight="1" x14ac:dyDescent="0.2">
      <c r="A30" s="39"/>
      <c r="B30" s="39"/>
      <c r="C30" s="39"/>
      <c r="D30" s="39"/>
      <c r="E30" s="39"/>
      <c r="F30" s="39"/>
      <c r="G30" s="40"/>
      <c r="H30" s="40"/>
      <c r="I30" s="1"/>
      <c r="J30" s="1"/>
      <c r="K30" s="1"/>
      <c r="L30" s="1"/>
      <c r="M30" s="1"/>
      <c r="N30" s="1"/>
      <c r="O30" s="1"/>
    </row>
    <row r="31" spans="1:15" ht="16.5" customHeight="1" x14ac:dyDescent="0.2">
      <c r="A31" s="1"/>
      <c r="B31" s="103" t="s">
        <v>66</v>
      </c>
      <c r="C31" s="104"/>
      <c r="D31" s="104"/>
      <c r="E31" s="104"/>
      <c r="F31" s="105"/>
      <c r="G31" s="41">
        <f>SUM(G29,G27,G25,G22,G19,G14)</f>
        <v>225031704.5</v>
      </c>
      <c r="H31" s="42">
        <f>SUM(H29,H27,H25,H22,H19,H14,)</f>
        <v>8081797618</v>
      </c>
      <c r="I31" s="1"/>
      <c r="J31" s="1"/>
      <c r="K31" s="1"/>
      <c r="L31" s="1"/>
      <c r="M31" s="1"/>
      <c r="N31" s="1"/>
      <c r="O31" s="1"/>
    </row>
    <row r="32" spans="1:15" ht="16.5" customHeight="1" x14ac:dyDescent="0.2">
      <c r="A32" s="1"/>
      <c r="B32" s="43">
        <v>3</v>
      </c>
      <c r="C32" s="44" t="s">
        <v>67</v>
      </c>
      <c r="D32" s="45"/>
      <c r="E32" s="46" t="s">
        <v>68</v>
      </c>
      <c r="F32" s="46"/>
      <c r="G32" s="47"/>
      <c r="H32" s="48"/>
      <c r="I32" s="1"/>
      <c r="J32" s="1"/>
      <c r="K32" s="1"/>
      <c r="L32" s="1"/>
      <c r="M32" s="1"/>
      <c r="N32" s="1"/>
      <c r="O32" s="1"/>
    </row>
    <row r="33" spans="1:15" ht="16.5" customHeight="1" x14ac:dyDescent="0.2">
      <c r="A33" s="1"/>
      <c r="B33" s="49">
        <v>3.1</v>
      </c>
      <c r="C33" s="50" t="s">
        <v>69</v>
      </c>
      <c r="D33" s="17" t="s">
        <v>70</v>
      </c>
      <c r="E33" s="51">
        <v>0.1</v>
      </c>
      <c r="F33" s="16" t="s">
        <v>71</v>
      </c>
      <c r="G33" s="20"/>
      <c r="H33" s="19">
        <f>H31*10%</f>
        <v>808179761.80000007</v>
      </c>
      <c r="I33" s="1"/>
      <c r="J33" s="1"/>
      <c r="K33" s="1"/>
      <c r="L33" s="1"/>
      <c r="M33" s="1"/>
      <c r="N33" s="1"/>
      <c r="O33" s="1"/>
    </row>
    <row r="34" spans="1:15" ht="16.5" customHeight="1" x14ac:dyDescent="0.2">
      <c r="A34" s="1"/>
      <c r="B34" s="52"/>
      <c r="C34" s="53" t="s">
        <v>72</v>
      </c>
      <c r="D34" s="53"/>
      <c r="E34" s="54"/>
      <c r="F34" s="54"/>
      <c r="G34" s="55"/>
      <c r="H34" s="56">
        <f>H31+H33</f>
        <v>8889977379.7999992</v>
      </c>
      <c r="I34" s="1"/>
      <c r="J34" s="1"/>
      <c r="K34" s="1"/>
      <c r="L34" s="1"/>
      <c r="M34" s="1"/>
      <c r="N34" s="1"/>
      <c r="O34" s="1"/>
    </row>
    <row r="35" spans="1:15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6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6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</sheetData>
  <mergeCells count="14">
    <mergeCell ref="B31:F31"/>
    <mergeCell ref="A22:F22"/>
    <mergeCell ref="A20:A21"/>
    <mergeCell ref="A29:F29"/>
    <mergeCell ref="B1:H1"/>
    <mergeCell ref="B2:C3"/>
    <mergeCell ref="D2:H3"/>
    <mergeCell ref="A6:A13"/>
    <mergeCell ref="A14:F14"/>
    <mergeCell ref="A15:A18"/>
    <mergeCell ref="A19:F19"/>
    <mergeCell ref="A23:A24"/>
    <mergeCell ref="A25:F25"/>
    <mergeCell ref="A27:F2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baseColWidth="10" defaultColWidth="12.6640625" defaultRowHeight="15" customHeight="1" x14ac:dyDescent="0.2"/>
  <cols>
    <col min="1" max="1" width="18.1640625" customWidth="1"/>
    <col min="2" max="2" width="11.1640625" customWidth="1"/>
    <col min="3" max="3" width="22.6640625" customWidth="1"/>
    <col min="4" max="4" width="41.83203125" customWidth="1"/>
    <col min="5" max="5" width="17" customWidth="1"/>
    <col min="6" max="6" width="8.1640625" customWidth="1"/>
    <col min="7" max="8" width="14" customWidth="1"/>
    <col min="9" max="18" width="15.6640625" customWidth="1"/>
    <col min="19" max="19" width="12.5" customWidth="1"/>
    <col min="20" max="20" width="16" customWidth="1"/>
    <col min="21" max="21" width="19.33203125" customWidth="1"/>
    <col min="22" max="22" width="18.5" customWidth="1"/>
    <col min="23" max="23" width="15.5" customWidth="1"/>
  </cols>
  <sheetData>
    <row r="1" spans="1:23" ht="47.25" customHeight="1" x14ac:dyDescent="0.2">
      <c r="A1" s="1"/>
      <c r="B1" s="114" t="s">
        <v>0</v>
      </c>
      <c r="C1" s="115"/>
      <c r="D1" s="115"/>
      <c r="E1" s="115"/>
      <c r="F1" s="115"/>
      <c r="G1" s="1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.5" customHeight="1" x14ac:dyDescent="0.2">
      <c r="A2" s="1"/>
      <c r="B2" s="117" t="s">
        <v>1</v>
      </c>
      <c r="C2" s="118"/>
      <c r="D2" s="121"/>
      <c r="E2" s="122"/>
      <c r="F2" s="122"/>
      <c r="G2" s="1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5" customHeight="1" x14ac:dyDescent="0.2">
      <c r="A3" s="1"/>
      <c r="B3" s="119"/>
      <c r="C3" s="120"/>
      <c r="D3" s="119"/>
      <c r="E3" s="123"/>
      <c r="F3" s="123"/>
      <c r="G3" s="1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50.25" customHeight="1" x14ac:dyDescent="0.2">
      <c r="A4" s="1"/>
      <c r="B4" s="2"/>
      <c r="C4" s="2"/>
      <c r="D4" s="3"/>
      <c r="E4" s="4"/>
      <c r="F4" s="4"/>
      <c r="G4" s="66" t="s">
        <v>101</v>
      </c>
      <c r="H4" s="66" t="s">
        <v>102</v>
      </c>
      <c r="I4" s="66" t="s">
        <v>103</v>
      </c>
      <c r="J4" s="66" t="s">
        <v>104</v>
      </c>
      <c r="K4" s="67"/>
      <c r="L4" s="67"/>
      <c r="M4" s="67"/>
      <c r="N4" s="67"/>
      <c r="O4" s="67"/>
      <c r="P4" s="67"/>
      <c r="Q4" s="67"/>
      <c r="R4" s="68"/>
      <c r="S4" s="1"/>
      <c r="T4" s="130" t="s">
        <v>105</v>
      </c>
      <c r="U4" s="115"/>
      <c r="V4" s="115"/>
      <c r="W4" s="116"/>
    </row>
    <row r="5" spans="1:23" ht="16.5" customHeight="1" x14ac:dyDescent="0.2">
      <c r="A5" s="57" t="s">
        <v>2</v>
      </c>
      <c r="B5" s="57" t="s">
        <v>3</v>
      </c>
      <c r="C5" s="58" t="s">
        <v>4</v>
      </c>
      <c r="D5" s="57" t="s">
        <v>5</v>
      </c>
      <c r="E5" s="57" t="s">
        <v>73</v>
      </c>
      <c r="F5" s="57" t="s">
        <v>7</v>
      </c>
      <c r="G5" s="59" t="s">
        <v>8</v>
      </c>
      <c r="H5" s="59" t="s">
        <v>8</v>
      </c>
      <c r="I5" s="59" t="s">
        <v>8</v>
      </c>
      <c r="J5" s="59" t="s">
        <v>8</v>
      </c>
      <c r="K5" s="69" t="s">
        <v>106</v>
      </c>
      <c r="L5" s="69" t="s">
        <v>107</v>
      </c>
      <c r="M5" s="69" t="s">
        <v>108</v>
      </c>
      <c r="N5" s="69" t="s">
        <v>109</v>
      </c>
      <c r="O5" s="69" t="s">
        <v>110</v>
      </c>
      <c r="P5" s="69" t="s">
        <v>111</v>
      </c>
      <c r="Q5" s="69" t="s">
        <v>112</v>
      </c>
      <c r="R5" s="69" t="s">
        <v>113</v>
      </c>
      <c r="S5" s="1"/>
      <c r="T5" s="57" t="s">
        <v>102</v>
      </c>
      <c r="U5" s="57" t="s">
        <v>103</v>
      </c>
      <c r="V5" s="59" t="s">
        <v>104</v>
      </c>
      <c r="W5" s="59" t="s">
        <v>114</v>
      </c>
    </row>
    <row r="6" spans="1:23" ht="16.5" customHeight="1" x14ac:dyDescent="0.2">
      <c r="A6" s="125" t="s">
        <v>10</v>
      </c>
      <c r="B6" s="16">
        <v>1.1000000000000001</v>
      </c>
      <c r="C6" s="17" t="s">
        <v>11</v>
      </c>
      <c r="D6" s="17" t="s">
        <v>12</v>
      </c>
      <c r="E6" s="16">
        <v>1</v>
      </c>
      <c r="F6" s="60">
        <v>7.5</v>
      </c>
      <c r="G6" s="20">
        <v>8590000</v>
      </c>
      <c r="H6" s="20">
        <v>4725000</v>
      </c>
      <c r="I6" s="20">
        <v>12000000</v>
      </c>
      <c r="J6" s="20">
        <v>14000000</v>
      </c>
      <c r="K6" s="20">
        <f t="shared" ref="K6:K11" si="0">AVERAGE(G6:J6)</f>
        <v>9828750</v>
      </c>
      <c r="L6" s="20">
        <f t="shared" ref="L6:L11" si="1">MEDIAN(G6:J6)</f>
        <v>10295000</v>
      </c>
      <c r="M6" s="20">
        <f t="shared" ref="M6:M11" si="2">STDEVA(G6:J6)</f>
        <v>4070070.3822743245</v>
      </c>
      <c r="N6" s="70">
        <f t="shared" ref="N6:N11" si="3">M6/K6</f>
        <v>0.41409847460504384</v>
      </c>
      <c r="O6" s="20">
        <f t="shared" ref="O6:O11" si="4">MIN(G6:J6)</f>
        <v>4725000</v>
      </c>
      <c r="P6" s="20">
        <f t="shared" ref="P6:P11" si="5">MAX(G6:J6)</f>
        <v>14000000</v>
      </c>
      <c r="Q6" s="20">
        <f t="shared" ref="Q6:Q13" si="6">L6</f>
        <v>10295000</v>
      </c>
      <c r="R6" s="71"/>
      <c r="S6" s="1"/>
      <c r="T6" s="20">
        <f t="shared" ref="T6:T40" si="7">G6-H6</f>
        <v>3865000</v>
      </c>
      <c r="U6" s="20">
        <f t="shared" ref="U6:U39" si="8">G6-I6</f>
        <v>-3410000</v>
      </c>
      <c r="V6" s="20">
        <f t="shared" ref="V6:V40" si="9">G6-J6</f>
        <v>-5410000</v>
      </c>
      <c r="W6" s="20">
        <f t="shared" ref="W6:W40" si="10">G6-K6</f>
        <v>-1238750</v>
      </c>
    </row>
    <row r="7" spans="1:23" ht="16.5" customHeight="1" x14ac:dyDescent="0.2">
      <c r="A7" s="127"/>
      <c r="B7" s="16">
        <v>1.2</v>
      </c>
      <c r="C7" s="17" t="s">
        <v>13</v>
      </c>
      <c r="D7" s="17" t="s">
        <v>14</v>
      </c>
      <c r="E7" s="16">
        <v>1</v>
      </c>
      <c r="F7" s="60">
        <v>7.5</v>
      </c>
      <c r="G7" s="20">
        <v>8590000</v>
      </c>
      <c r="H7" s="20">
        <v>4725000</v>
      </c>
      <c r="I7" s="20">
        <v>8000000</v>
      </c>
      <c r="J7" s="20">
        <v>9200000</v>
      </c>
      <c r="K7" s="20">
        <f t="shared" si="0"/>
        <v>7628750</v>
      </c>
      <c r="L7" s="20">
        <f t="shared" si="1"/>
        <v>8295000</v>
      </c>
      <c r="M7" s="20">
        <f t="shared" si="2"/>
        <v>1996865.77332245</v>
      </c>
      <c r="N7" s="70">
        <f t="shared" si="3"/>
        <v>0.26175530372897921</v>
      </c>
      <c r="O7" s="20">
        <f t="shared" si="4"/>
        <v>4725000</v>
      </c>
      <c r="P7" s="20">
        <f t="shared" si="5"/>
        <v>9200000</v>
      </c>
      <c r="Q7" s="20">
        <f t="shared" si="6"/>
        <v>8295000</v>
      </c>
      <c r="R7" s="71"/>
      <c r="S7" s="1"/>
      <c r="T7" s="20">
        <f t="shared" si="7"/>
        <v>3865000</v>
      </c>
      <c r="U7" s="20">
        <f t="shared" si="8"/>
        <v>590000</v>
      </c>
      <c r="V7" s="20">
        <f t="shared" si="9"/>
        <v>-610000</v>
      </c>
      <c r="W7" s="20">
        <f t="shared" si="10"/>
        <v>961250</v>
      </c>
    </row>
    <row r="8" spans="1:23" ht="16.5" customHeight="1" x14ac:dyDescent="0.2">
      <c r="A8" s="127"/>
      <c r="B8" s="16">
        <v>1.3</v>
      </c>
      <c r="C8" s="17" t="s">
        <v>15</v>
      </c>
      <c r="D8" s="17" t="s">
        <v>115</v>
      </c>
      <c r="E8" s="16">
        <v>10</v>
      </c>
      <c r="F8" s="60">
        <v>7</v>
      </c>
      <c r="G8" s="20">
        <v>4919200</v>
      </c>
      <c r="H8" s="20">
        <v>4725000</v>
      </c>
      <c r="I8" s="20">
        <v>6000000</v>
      </c>
      <c r="J8" s="20">
        <v>8500000</v>
      </c>
      <c r="K8" s="20">
        <f t="shared" si="0"/>
        <v>6036050</v>
      </c>
      <c r="L8" s="20">
        <f t="shared" si="1"/>
        <v>5459600</v>
      </c>
      <c r="M8" s="20">
        <f t="shared" si="2"/>
        <v>1735756.8214854677</v>
      </c>
      <c r="N8" s="70">
        <f t="shared" si="3"/>
        <v>0.28756501710314986</v>
      </c>
      <c r="O8" s="20">
        <f t="shared" si="4"/>
        <v>4725000</v>
      </c>
      <c r="P8" s="20">
        <f t="shared" si="5"/>
        <v>8500000</v>
      </c>
      <c r="Q8" s="20">
        <f t="shared" si="6"/>
        <v>5459600</v>
      </c>
      <c r="R8" s="71"/>
      <c r="S8" s="1"/>
      <c r="T8" s="20">
        <f t="shared" si="7"/>
        <v>194200</v>
      </c>
      <c r="U8" s="20">
        <f t="shared" si="8"/>
        <v>-1080800</v>
      </c>
      <c r="V8" s="20">
        <f t="shared" si="9"/>
        <v>-3580800</v>
      </c>
      <c r="W8" s="20">
        <f t="shared" si="10"/>
        <v>-1116850</v>
      </c>
    </row>
    <row r="9" spans="1:23" ht="16.5" customHeight="1" x14ac:dyDescent="0.2">
      <c r="A9" s="127"/>
      <c r="B9" s="16">
        <v>1.4</v>
      </c>
      <c r="C9" s="17" t="s">
        <v>75</v>
      </c>
      <c r="D9" s="17" t="s">
        <v>116</v>
      </c>
      <c r="E9" s="16">
        <v>5</v>
      </c>
      <c r="F9" s="60">
        <v>7</v>
      </c>
      <c r="G9" s="20">
        <v>4919200</v>
      </c>
      <c r="H9" s="20">
        <v>4725000</v>
      </c>
      <c r="I9" s="20">
        <v>6000000</v>
      </c>
      <c r="J9" s="20">
        <v>8500000</v>
      </c>
      <c r="K9" s="20">
        <f t="shared" si="0"/>
        <v>6036050</v>
      </c>
      <c r="L9" s="20">
        <f t="shared" si="1"/>
        <v>5459600</v>
      </c>
      <c r="M9" s="20">
        <f t="shared" si="2"/>
        <v>1735756.8214854677</v>
      </c>
      <c r="N9" s="70">
        <f t="shared" si="3"/>
        <v>0.28756501710314986</v>
      </c>
      <c r="O9" s="20">
        <f t="shared" si="4"/>
        <v>4725000</v>
      </c>
      <c r="P9" s="20">
        <f t="shared" si="5"/>
        <v>8500000</v>
      </c>
      <c r="Q9" s="20">
        <f t="shared" si="6"/>
        <v>5459600</v>
      </c>
      <c r="R9" s="71"/>
      <c r="S9" s="1"/>
      <c r="T9" s="20">
        <f t="shared" si="7"/>
        <v>194200</v>
      </c>
      <c r="U9" s="20">
        <f t="shared" si="8"/>
        <v>-1080800</v>
      </c>
      <c r="V9" s="20">
        <f t="shared" si="9"/>
        <v>-3580800</v>
      </c>
      <c r="W9" s="20">
        <f t="shared" si="10"/>
        <v>-1116850</v>
      </c>
    </row>
    <row r="10" spans="1:23" ht="16.5" customHeight="1" x14ac:dyDescent="0.2">
      <c r="A10" s="127"/>
      <c r="B10" s="16">
        <v>1.5</v>
      </c>
      <c r="C10" s="17" t="s">
        <v>19</v>
      </c>
      <c r="D10" s="17" t="s">
        <v>76</v>
      </c>
      <c r="E10" s="16">
        <v>5</v>
      </c>
      <c r="F10" s="60">
        <v>7</v>
      </c>
      <c r="G10" s="20">
        <v>4919200</v>
      </c>
      <c r="H10" s="20">
        <v>4725000</v>
      </c>
      <c r="I10" s="20">
        <v>6000000</v>
      </c>
      <c r="J10" s="20">
        <v>8500000</v>
      </c>
      <c r="K10" s="20">
        <f t="shared" si="0"/>
        <v>6036050</v>
      </c>
      <c r="L10" s="20">
        <f t="shared" si="1"/>
        <v>5459600</v>
      </c>
      <c r="M10" s="20">
        <f t="shared" si="2"/>
        <v>1735756.8214854677</v>
      </c>
      <c r="N10" s="70">
        <f t="shared" si="3"/>
        <v>0.28756501710314986</v>
      </c>
      <c r="O10" s="20">
        <f t="shared" si="4"/>
        <v>4725000</v>
      </c>
      <c r="P10" s="20">
        <f t="shared" si="5"/>
        <v>8500000</v>
      </c>
      <c r="Q10" s="20">
        <f t="shared" si="6"/>
        <v>5459600</v>
      </c>
      <c r="R10" s="71"/>
      <c r="S10" s="1"/>
      <c r="T10" s="20">
        <f t="shared" si="7"/>
        <v>194200</v>
      </c>
      <c r="U10" s="20">
        <f t="shared" si="8"/>
        <v>-1080800</v>
      </c>
      <c r="V10" s="20">
        <f t="shared" si="9"/>
        <v>-3580800</v>
      </c>
      <c r="W10" s="20">
        <f t="shared" si="10"/>
        <v>-1116850</v>
      </c>
    </row>
    <row r="11" spans="1:23" ht="46.5" customHeight="1" x14ac:dyDescent="0.2">
      <c r="A11" s="102"/>
      <c r="B11" s="16">
        <v>1.6</v>
      </c>
      <c r="C11" s="17" t="s">
        <v>25</v>
      </c>
      <c r="D11" s="17" t="s">
        <v>77</v>
      </c>
      <c r="E11" s="16">
        <v>10</v>
      </c>
      <c r="F11" s="60">
        <v>7</v>
      </c>
      <c r="G11" s="20">
        <v>4919200</v>
      </c>
      <c r="H11" s="20">
        <v>4725000</v>
      </c>
      <c r="I11" s="20">
        <v>6000000</v>
      </c>
      <c r="J11" s="20">
        <v>8500000</v>
      </c>
      <c r="K11" s="20">
        <f t="shared" si="0"/>
        <v>6036050</v>
      </c>
      <c r="L11" s="20">
        <f t="shared" si="1"/>
        <v>5459600</v>
      </c>
      <c r="M11" s="20">
        <f t="shared" si="2"/>
        <v>1735756.8214854677</v>
      </c>
      <c r="N11" s="70">
        <f t="shared" si="3"/>
        <v>0.28756501710314986</v>
      </c>
      <c r="O11" s="20">
        <f t="shared" si="4"/>
        <v>4725000</v>
      </c>
      <c r="P11" s="20">
        <f t="shared" si="5"/>
        <v>8500000</v>
      </c>
      <c r="Q11" s="20">
        <f t="shared" si="6"/>
        <v>5459600</v>
      </c>
      <c r="R11" s="71"/>
      <c r="S11" s="1"/>
      <c r="T11" s="20">
        <f t="shared" si="7"/>
        <v>194200</v>
      </c>
      <c r="U11" s="20">
        <f t="shared" si="8"/>
        <v>-1080800</v>
      </c>
      <c r="V11" s="20">
        <f t="shared" si="9"/>
        <v>-3580800</v>
      </c>
      <c r="W11" s="20">
        <f t="shared" si="10"/>
        <v>-1116850</v>
      </c>
    </row>
    <row r="12" spans="1:23" ht="16.5" customHeight="1" x14ac:dyDescent="0.2">
      <c r="A12" s="126" t="s">
        <v>27</v>
      </c>
      <c r="B12" s="100"/>
      <c r="C12" s="100"/>
      <c r="D12" s="100"/>
      <c r="E12" s="100"/>
      <c r="F12" s="101"/>
      <c r="G12" s="61">
        <f>SUM(G6:G11)</f>
        <v>36856800</v>
      </c>
      <c r="H12" s="61"/>
      <c r="I12" s="61"/>
      <c r="J12" s="61"/>
      <c r="K12" s="61"/>
      <c r="L12" s="61"/>
      <c r="M12" s="61"/>
      <c r="N12" s="61"/>
      <c r="O12" s="61"/>
      <c r="P12" s="61"/>
      <c r="Q12" s="61">
        <f t="shared" si="6"/>
        <v>0</v>
      </c>
      <c r="R12" s="72"/>
      <c r="S12" s="1"/>
      <c r="T12" s="20">
        <f t="shared" si="7"/>
        <v>36856800</v>
      </c>
      <c r="U12" s="20">
        <f t="shared" si="8"/>
        <v>36856800</v>
      </c>
      <c r="V12" s="20">
        <f t="shared" si="9"/>
        <v>36856800</v>
      </c>
      <c r="W12" s="20">
        <f t="shared" si="10"/>
        <v>36856800</v>
      </c>
    </row>
    <row r="13" spans="1:23" ht="16.5" customHeight="1" x14ac:dyDescent="0.2">
      <c r="A13" s="125" t="s">
        <v>28</v>
      </c>
      <c r="B13" s="16" t="s">
        <v>29</v>
      </c>
      <c r="C13" s="17" t="s">
        <v>78</v>
      </c>
      <c r="D13" s="27" t="s">
        <v>79</v>
      </c>
      <c r="E13" s="16">
        <v>5</v>
      </c>
      <c r="F13" s="16">
        <v>20</v>
      </c>
      <c r="G13" s="20" t="e">
        <f>#REF!</f>
        <v>#REF!</v>
      </c>
      <c r="H13" s="73">
        <v>9750000</v>
      </c>
      <c r="I13" s="20">
        <v>3000000</v>
      </c>
      <c r="J13" s="20">
        <v>2400000</v>
      </c>
      <c r="K13" s="20" t="e">
        <f t="shared" ref="K13:K14" si="11">AVERAGE(G13:J13)</f>
        <v>#REF!</v>
      </c>
      <c r="L13" s="20" t="e">
        <f t="shared" ref="L13:L14" si="12">MEDIAN(G13:J13)</f>
        <v>#REF!</v>
      </c>
      <c r="M13" s="20" t="e">
        <f t="shared" ref="M13:M14" si="13">STDEVA(G13:J13)</f>
        <v>#REF!</v>
      </c>
      <c r="N13" s="70" t="e">
        <f t="shared" ref="N13:N14" si="14">M13/K13</f>
        <v>#REF!</v>
      </c>
      <c r="O13" s="20" t="e">
        <f t="shared" ref="O13:O14" si="15">MIN(G13:J13)</f>
        <v>#REF!</v>
      </c>
      <c r="P13" s="20" t="e">
        <f t="shared" ref="P13:P14" si="16">MAX(G13:J13)</f>
        <v>#REF!</v>
      </c>
      <c r="Q13" s="20" t="e">
        <f t="shared" si="6"/>
        <v>#REF!</v>
      </c>
      <c r="R13" s="71"/>
      <c r="S13" s="1"/>
      <c r="T13" s="20" t="e">
        <f t="shared" si="7"/>
        <v>#REF!</v>
      </c>
      <c r="U13" s="20" t="e">
        <f t="shared" si="8"/>
        <v>#REF!</v>
      </c>
      <c r="V13" s="20" t="e">
        <f t="shared" si="9"/>
        <v>#REF!</v>
      </c>
      <c r="W13" s="20" t="e">
        <f t="shared" si="10"/>
        <v>#REF!</v>
      </c>
    </row>
    <row r="14" spans="1:23" ht="16.5" customHeight="1" x14ac:dyDescent="0.2">
      <c r="A14" s="102"/>
      <c r="B14" s="16" t="s">
        <v>32</v>
      </c>
      <c r="C14" s="17" t="s">
        <v>80</v>
      </c>
      <c r="D14" s="27" t="s">
        <v>81</v>
      </c>
      <c r="E14" s="16">
        <v>100</v>
      </c>
      <c r="F14" s="16"/>
      <c r="G14" s="20">
        <v>80000</v>
      </c>
      <c r="H14" s="73">
        <v>1012500</v>
      </c>
      <c r="I14" s="20">
        <v>120000</v>
      </c>
      <c r="J14" s="73">
        <v>1000000</v>
      </c>
      <c r="K14" s="20">
        <f t="shared" si="11"/>
        <v>553125</v>
      </c>
      <c r="L14" s="20">
        <f t="shared" si="12"/>
        <v>560000</v>
      </c>
      <c r="M14" s="20">
        <f t="shared" si="13"/>
        <v>523503.32297576359</v>
      </c>
      <c r="N14" s="74">
        <f t="shared" si="14"/>
        <v>0.94644668560590028</v>
      </c>
      <c r="O14" s="20">
        <f t="shared" si="15"/>
        <v>80000</v>
      </c>
      <c r="P14" s="20">
        <f t="shared" si="16"/>
        <v>1012500</v>
      </c>
      <c r="Q14" s="73">
        <v>120000</v>
      </c>
      <c r="R14" s="75" t="s">
        <v>117</v>
      </c>
      <c r="S14" s="1"/>
      <c r="T14" s="20">
        <f t="shared" si="7"/>
        <v>-932500</v>
      </c>
      <c r="U14" s="20">
        <f t="shared" si="8"/>
        <v>-40000</v>
      </c>
      <c r="V14" s="20">
        <f t="shared" si="9"/>
        <v>-920000</v>
      </c>
      <c r="W14" s="20">
        <f t="shared" si="10"/>
        <v>-473125</v>
      </c>
    </row>
    <row r="15" spans="1:23" ht="16.5" customHeight="1" x14ac:dyDescent="0.2">
      <c r="A15" s="126" t="s">
        <v>41</v>
      </c>
      <c r="B15" s="100"/>
      <c r="C15" s="100"/>
      <c r="D15" s="100"/>
      <c r="E15" s="100"/>
      <c r="F15" s="101"/>
      <c r="G15" s="61" t="e">
        <f>SUM(G13)</f>
        <v>#REF!</v>
      </c>
      <c r="H15" s="61"/>
      <c r="I15" s="61"/>
      <c r="J15" s="61"/>
      <c r="K15" s="61"/>
      <c r="L15" s="61"/>
      <c r="M15" s="61"/>
      <c r="N15" s="61"/>
      <c r="O15" s="61"/>
      <c r="P15" s="61"/>
      <c r="Q15" s="61">
        <f>L15</f>
        <v>0</v>
      </c>
      <c r="R15" s="72"/>
      <c r="S15" s="1"/>
      <c r="T15" s="20" t="e">
        <f t="shared" si="7"/>
        <v>#REF!</v>
      </c>
      <c r="U15" s="20" t="e">
        <f t="shared" si="8"/>
        <v>#REF!</v>
      </c>
      <c r="V15" s="20" t="e">
        <f t="shared" si="9"/>
        <v>#REF!</v>
      </c>
      <c r="W15" s="20" t="e">
        <f t="shared" si="10"/>
        <v>#REF!</v>
      </c>
    </row>
    <row r="16" spans="1:23" ht="63" customHeight="1" x14ac:dyDescent="0.2">
      <c r="A16" s="125" t="s">
        <v>42</v>
      </c>
      <c r="B16" s="16">
        <v>3.1</v>
      </c>
      <c r="C16" s="29" t="s">
        <v>82</v>
      </c>
      <c r="D16" s="29" t="s">
        <v>83</v>
      </c>
      <c r="E16" s="16">
        <v>12</v>
      </c>
      <c r="F16" s="16">
        <v>3</v>
      </c>
      <c r="G16" s="20" t="e">
        <f>#REF!+#REF!</f>
        <v>#REF!</v>
      </c>
      <c r="H16" s="73">
        <v>4050000</v>
      </c>
      <c r="I16" s="20">
        <v>1200000</v>
      </c>
      <c r="J16" s="73">
        <v>12900000</v>
      </c>
      <c r="K16" s="20" t="e">
        <f t="shared" ref="K16:K22" si="17">AVERAGE(G16:J16)</f>
        <v>#REF!</v>
      </c>
      <c r="L16" s="20" t="e">
        <f t="shared" ref="L16:L22" si="18">MEDIAN(G16:J16)</f>
        <v>#REF!</v>
      </c>
      <c r="M16" s="20" t="e">
        <f t="shared" ref="M16:M22" si="19">STDEVA(G16:J16)</f>
        <v>#REF!</v>
      </c>
      <c r="N16" s="74" t="e">
        <f t="shared" ref="N16:N22" si="20">M16/K16</f>
        <v>#REF!</v>
      </c>
      <c r="O16" s="73" t="e">
        <f t="shared" ref="O16:O22" si="21">MIN(G16:J16)</f>
        <v>#REF!</v>
      </c>
      <c r="P16" s="73" t="e">
        <f t="shared" ref="P16:P22" si="22">MAX(G16:J16)</f>
        <v>#REF!</v>
      </c>
      <c r="Q16" s="73">
        <f>I16</f>
        <v>1200000</v>
      </c>
      <c r="R16" s="75" t="s">
        <v>117</v>
      </c>
      <c r="S16" s="1"/>
      <c r="T16" s="20" t="e">
        <f t="shared" si="7"/>
        <v>#REF!</v>
      </c>
      <c r="U16" s="20" t="e">
        <f t="shared" si="8"/>
        <v>#REF!</v>
      </c>
      <c r="V16" s="20" t="e">
        <f t="shared" si="9"/>
        <v>#REF!</v>
      </c>
      <c r="W16" s="20" t="e">
        <f t="shared" si="10"/>
        <v>#REF!</v>
      </c>
    </row>
    <row r="17" spans="1:23" ht="181.5" customHeight="1" x14ac:dyDescent="0.2">
      <c r="A17" s="127"/>
      <c r="B17" s="16">
        <v>3.2</v>
      </c>
      <c r="C17" s="17" t="s">
        <v>45</v>
      </c>
      <c r="D17" s="76" t="s">
        <v>118</v>
      </c>
      <c r="E17" s="77">
        <v>100</v>
      </c>
      <c r="F17" s="77">
        <v>60</v>
      </c>
      <c r="G17" s="20" t="e">
        <f>#REF!</f>
        <v>#REF!</v>
      </c>
      <c r="H17" s="20">
        <v>46991890</v>
      </c>
      <c r="I17" s="73">
        <f>400000+70*16000+400000+30*16000</f>
        <v>2400000</v>
      </c>
      <c r="J17" s="73">
        <v>1400000</v>
      </c>
      <c r="K17" s="20" t="e">
        <f t="shared" si="17"/>
        <v>#REF!</v>
      </c>
      <c r="L17" s="20" t="e">
        <f t="shared" si="18"/>
        <v>#REF!</v>
      </c>
      <c r="M17" s="20" t="e">
        <f t="shared" si="19"/>
        <v>#REF!</v>
      </c>
      <c r="N17" s="74" t="e">
        <f t="shared" si="20"/>
        <v>#REF!</v>
      </c>
      <c r="O17" s="20" t="e">
        <f t="shared" si="21"/>
        <v>#REF!</v>
      </c>
      <c r="P17" s="20" t="e">
        <f t="shared" si="22"/>
        <v>#REF!</v>
      </c>
      <c r="Q17" s="73" t="e">
        <f>#REF!</f>
        <v>#REF!</v>
      </c>
      <c r="R17" s="78" t="s">
        <v>119</v>
      </c>
      <c r="S17" s="1"/>
      <c r="T17" s="20" t="e">
        <f t="shared" si="7"/>
        <v>#REF!</v>
      </c>
      <c r="U17" s="20" t="e">
        <f t="shared" si="8"/>
        <v>#REF!</v>
      </c>
      <c r="V17" s="20" t="e">
        <f t="shared" si="9"/>
        <v>#REF!</v>
      </c>
      <c r="W17" s="20" t="e">
        <f t="shared" si="10"/>
        <v>#REF!</v>
      </c>
    </row>
    <row r="18" spans="1:23" ht="96.75" customHeight="1" x14ac:dyDescent="0.2">
      <c r="A18" s="127"/>
      <c r="B18" s="16">
        <v>3.3</v>
      </c>
      <c r="C18" s="17" t="s">
        <v>84</v>
      </c>
      <c r="D18" s="29" t="s">
        <v>85</v>
      </c>
      <c r="E18" s="16">
        <v>80</v>
      </c>
      <c r="F18" s="16"/>
      <c r="G18" s="20" t="e">
        <f>#REF!</f>
        <v>#REF!</v>
      </c>
      <c r="H18" s="73">
        <v>15000000</v>
      </c>
      <c r="I18" s="20">
        <v>120000</v>
      </c>
      <c r="J18" s="20">
        <v>250000</v>
      </c>
      <c r="K18" s="20" t="e">
        <f t="shared" si="17"/>
        <v>#REF!</v>
      </c>
      <c r="L18" s="20" t="e">
        <f t="shared" si="18"/>
        <v>#REF!</v>
      </c>
      <c r="M18" s="20" t="e">
        <f t="shared" si="19"/>
        <v>#REF!</v>
      </c>
      <c r="N18" s="74" t="e">
        <f t="shared" si="20"/>
        <v>#REF!</v>
      </c>
      <c r="O18" s="73" t="e">
        <f t="shared" si="21"/>
        <v>#REF!</v>
      </c>
      <c r="P18" s="73" t="e">
        <f t="shared" si="22"/>
        <v>#REF!</v>
      </c>
      <c r="Q18" s="73" t="e">
        <f t="shared" ref="Q18:Q19" si="23">AVERAGE(G18,I18,J18)</f>
        <v>#REF!</v>
      </c>
      <c r="R18" s="75" t="s">
        <v>120</v>
      </c>
      <c r="S18" s="1"/>
      <c r="T18" s="20" t="e">
        <f t="shared" si="7"/>
        <v>#REF!</v>
      </c>
      <c r="U18" s="20" t="e">
        <f t="shared" si="8"/>
        <v>#REF!</v>
      </c>
      <c r="V18" s="20" t="e">
        <f t="shared" si="9"/>
        <v>#REF!</v>
      </c>
      <c r="W18" s="20" t="e">
        <f t="shared" si="10"/>
        <v>#REF!</v>
      </c>
    </row>
    <row r="19" spans="1:23" ht="99.75" customHeight="1" x14ac:dyDescent="0.2">
      <c r="A19" s="127"/>
      <c r="B19" s="16">
        <v>3.4</v>
      </c>
      <c r="C19" s="17" t="s">
        <v>86</v>
      </c>
      <c r="D19" s="76" t="s">
        <v>121</v>
      </c>
      <c r="E19" s="16">
        <v>24</v>
      </c>
      <c r="F19" s="16">
        <v>20</v>
      </c>
      <c r="G19" s="20" t="e">
        <f>#REF!</f>
        <v>#REF!</v>
      </c>
      <c r="H19" s="73">
        <v>7425000</v>
      </c>
      <c r="I19" s="20">
        <v>190000</v>
      </c>
      <c r="J19" s="20">
        <v>900000</v>
      </c>
      <c r="K19" s="20" t="e">
        <f t="shared" si="17"/>
        <v>#REF!</v>
      </c>
      <c r="L19" s="20" t="e">
        <f t="shared" si="18"/>
        <v>#REF!</v>
      </c>
      <c r="M19" s="20" t="e">
        <f t="shared" si="19"/>
        <v>#REF!</v>
      </c>
      <c r="N19" s="74" t="e">
        <f t="shared" si="20"/>
        <v>#REF!</v>
      </c>
      <c r="O19" s="73" t="e">
        <f t="shared" si="21"/>
        <v>#REF!</v>
      </c>
      <c r="P19" s="73" t="e">
        <f t="shared" si="22"/>
        <v>#REF!</v>
      </c>
      <c r="Q19" s="73" t="e">
        <f t="shared" si="23"/>
        <v>#REF!</v>
      </c>
      <c r="R19" s="75" t="s">
        <v>120</v>
      </c>
      <c r="S19" s="1"/>
      <c r="T19" s="20" t="e">
        <f t="shared" si="7"/>
        <v>#REF!</v>
      </c>
      <c r="U19" s="20" t="e">
        <f t="shared" si="8"/>
        <v>#REF!</v>
      </c>
      <c r="V19" s="20" t="e">
        <f t="shared" si="9"/>
        <v>#REF!</v>
      </c>
      <c r="W19" s="20" t="e">
        <f t="shared" si="10"/>
        <v>#REF!</v>
      </c>
    </row>
    <row r="20" spans="1:23" ht="99.75" customHeight="1" x14ac:dyDescent="0.2">
      <c r="A20" s="127"/>
      <c r="B20" s="16">
        <v>3.5</v>
      </c>
      <c r="C20" s="17" t="s">
        <v>87</v>
      </c>
      <c r="D20" s="76" t="s">
        <v>122</v>
      </c>
      <c r="E20" s="16">
        <v>60</v>
      </c>
      <c r="F20" s="16">
        <v>2</v>
      </c>
      <c r="G20" s="20" t="e">
        <f>#REF!</f>
        <v>#REF!</v>
      </c>
      <c r="H20" s="73">
        <v>7425000</v>
      </c>
      <c r="I20" s="20">
        <v>120000</v>
      </c>
      <c r="J20" s="73">
        <v>1300000</v>
      </c>
      <c r="K20" s="20" t="e">
        <f t="shared" si="17"/>
        <v>#REF!</v>
      </c>
      <c r="L20" s="20" t="e">
        <f t="shared" si="18"/>
        <v>#REF!</v>
      </c>
      <c r="M20" s="20" t="e">
        <f t="shared" si="19"/>
        <v>#REF!</v>
      </c>
      <c r="N20" s="74" t="e">
        <f t="shared" si="20"/>
        <v>#REF!</v>
      </c>
      <c r="O20" s="73" t="e">
        <f t="shared" si="21"/>
        <v>#REF!</v>
      </c>
      <c r="P20" s="73" t="e">
        <f t="shared" si="22"/>
        <v>#REF!</v>
      </c>
      <c r="Q20" s="73">
        <v>120000</v>
      </c>
      <c r="R20" s="75" t="s">
        <v>117</v>
      </c>
      <c r="S20" s="1"/>
      <c r="T20" s="20" t="e">
        <f t="shared" si="7"/>
        <v>#REF!</v>
      </c>
      <c r="U20" s="20" t="e">
        <f t="shared" si="8"/>
        <v>#REF!</v>
      </c>
      <c r="V20" s="20" t="e">
        <f t="shared" si="9"/>
        <v>#REF!</v>
      </c>
      <c r="W20" s="20" t="e">
        <f t="shared" si="10"/>
        <v>#REF!</v>
      </c>
    </row>
    <row r="21" spans="1:23" ht="99.75" customHeight="1" x14ac:dyDescent="0.2">
      <c r="A21" s="127"/>
      <c r="B21" s="16">
        <v>3.6</v>
      </c>
      <c r="C21" s="17" t="s">
        <v>74</v>
      </c>
      <c r="D21" s="29" t="s">
        <v>88</v>
      </c>
      <c r="E21" s="16">
        <v>1400</v>
      </c>
      <c r="F21" s="63"/>
      <c r="G21" s="20" t="e">
        <f>#REF!</f>
        <v>#REF!</v>
      </c>
      <c r="H21" s="73">
        <v>30000</v>
      </c>
      <c r="I21" s="20">
        <v>5000</v>
      </c>
      <c r="J21" s="20">
        <v>10000</v>
      </c>
      <c r="K21" s="20" t="e">
        <f t="shared" si="17"/>
        <v>#REF!</v>
      </c>
      <c r="L21" s="20" t="e">
        <f t="shared" si="18"/>
        <v>#REF!</v>
      </c>
      <c r="M21" s="20" t="e">
        <f t="shared" si="19"/>
        <v>#REF!</v>
      </c>
      <c r="N21" s="70" t="e">
        <f t="shared" si="20"/>
        <v>#REF!</v>
      </c>
      <c r="O21" s="20" t="e">
        <f t="shared" si="21"/>
        <v>#REF!</v>
      </c>
      <c r="P21" s="20" t="e">
        <f t="shared" si="22"/>
        <v>#REF!</v>
      </c>
      <c r="Q21" s="20" t="e">
        <f t="shared" ref="Q21:Q23" si="24">L21</f>
        <v>#REF!</v>
      </c>
      <c r="R21" s="71"/>
      <c r="S21" s="1"/>
      <c r="T21" s="20" t="e">
        <f t="shared" si="7"/>
        <v>#REF!</v>
      </c>
      <c r="U21" s="20" t="e">
        <f t="shared" si="8"/>
        <v>#REF!</v>
      </c>
      <c r="V21" s="20" t="e">
        <f t="shared" si="9"/>
        <v>#REF!</v>
      </c>
      <c r="W21" s="20" t="e">
        <f t="shared" si="10"/>
        <v>#REF!</v>
      </c>
    </row>
    <row r="22" spans="1:23" ht="183.75" customHeight="1" x14ac:dyDescent="0.2">
      <c r="A22" s="102"/>
      <c r="B22" s="16">
        <v>3.7</v>
      </c>
      <c r="C22" s="17" t="s">
        <v>89</v>
      </c>
      <c r="D22" s="29" t="s">
        <v>90</v>
      </c>
      <c r="E22" s="16">
        <v>1</v>
      </c>
      <c r="F22" s="16">
        <v>20</v>
      </c>
      <c r="G22" s="73" t="e">
        <f>#REF!</f>
        <v>#REF!</v>
      </c>
      <c r="H22" s="20">
        <v>135000</v>
      </c>
      <c r="I22" s="20">
        <f>10*3500+3000+11000+12*3500+3000+40000+6000+20000</f>
        <v>160000</v>
      </c>
      <c r="J22" s="20">
        <v>200000</v>
      </c>
      <c r="K22" s="20" t="e">
        <f t="shared" si="17"/>
        <v>#REF!</v>
      </c>
      <c r="L22" s="20" t="e">
        <f t="shared" si="18"/>
        <v>#REF!</v>
      </c>
      <c r="M22" s="20" t="e">
        <f t="shared" si="19"/>
        <v>#REF!</v>
      </c>
      <c r="N22" s="74" t="e">
        <f t="shared" si="20"/>
        <v>#REF!</v>
      </c>
      <c r="O22" s="73" t="e">
        <f t="shared" si="21"/>
        <v>#REF!</v>
      </c>
      <c r="P22" s="73" t="e">
        <f t="shared" si="22"/>
        <v>#REF!</v>
      </c>
      <c r="Q22" s="73" t="e">
        <f t="shared" si="24"/>
        <v>#REF!</v>
      </c>
      <c r="R22" s="75" t="s">
        <v>123</v>
      </c>
      <c r="S22" s="1"/>
      <c r="T22" s="20" t="e">
        <f t="shared" si="7"/>
        <v>#REF!</v>
      </c>
      <c r="U22" s="20" t="e">
        <f t="shared" si="8"/>
        <v>#REF!</v>
      </c>
      <c r="V22" s="20" t="e">
        <f t="shared" si="9"/>
        <v>#REF!</v>
      </c>
      <c r="W22" s="20" t="e">
        <f t="shared" si="10"/>
        <v>#REF!</v>
      </c>
    </row>
    <row r="23" spans="1:23" ht="16.5" customHeight="1" x14ac:dyDescent="0.2">
      <c r="A23" s="126" t="s">
        <v>47</v>
      </c>
      <c r="B23" s="100"/>
      <c r="C23" s="100"/>
      <c r="D23" s="100"/>
      <c r="E23" s="100"/>
      <c r="F23" s="101"/>
      <c r="G23" s="61" t="e">
        <f>SUM(G17)</f>
        <v>#REF!</v>
      </c>
      <c r="H23" s="61"/>
      <c r="I23" s="61"/>
      <c r="J23" s="61"/>
      <c r="K23" s="61"/>
      <c r="L23" s="61"/>
      <c r="M23" s="61"/>
      <c r="N23" s="61"/>
      <c r="O23" s="61"/>
      <c r="P23" s="61"/>
      <c r="Q23" s="61">
        <f t="shared" si="24"/>
        <v>0</v>
      </c>
      <c r="R23" s="72"/>
      <c r="S23" s="1"/>
      <c r="T23" s="20" t="e">
        <f t="shared" si="7"/>
        <v>#REF!</v>
      </c>
      <c r="U23" s="20" t="e">
        <f t="shared" si="8"/>
        <v>#REF!</v>
      </c>
      <c r="V23" s="20" t="e">
        <f t="shared" si="9"/>
        <v>#REF!</v>
      </c>
      <c r="W23" s="20" t="e">
        <f t="shared" si="10"/>
        <v>#REF!</v>
      </c>
    </row>
    <row r="24" spans="1:23" ht="16.5" customHeight="1" x14ac:dyDescent="0.2">
      <c r="A24" s="125" t="s">
        <v>48</v>
      </c>
      <c r="B24" s="16">
        <v>4.0999999999999996</v>
      </c>
      <c r="C24" s="17" t="s">
        <v>50</v>
      </c>
      <c r="D24" s="17" t="s">
        <v>124</v>
      </c>
      <c r="E24" s="16">
        <v>10</v>
      </c>
      <c r="F24" s="16">
        <v>20</v>
      </c>
      <c r="G24" s="20" t="e">
        <f>#REF!</f>
        <v>#REF!</v>
      </c>
      <c r="H24" s="73">
        <v>572500</v>
      </c>
      <c r="I24" s="20">
        <v>120000</v>
      </c>
      <c r="J24" s="20">
        <v>250000</v>
      </c>
      <c r="K24" s="20" t="e">
        <f t="shared" ref="K24:K28" si="25">AVERAGE(G24:J24)</f>
        <v>#REF!</v>
      </c>
      <c r="L24" s="20" t="e">
        <f t="shared" ref="L24:L28" si="26">MEDIAN(G24:J24)</f>
        <v>#REF!</v>
      </c>
      <c r="M24" s="20" t="e">
        <f t="shared" ref="M24:M28" si="27">STDEVA(G24:J24)</f>
        <v>#REF!</v>
      </c>
      <c r="N24" s="74" t="e">
        <f t="shared" ref="N24:N28" si="28">M24/K24</f>
        <v>#REF!</v>
      </c>
      <c r="O24" s="20" t="e">
        <f t="shared" ref="O24:O28" si="29">MIN(G24:J24)</f>
        <v>#REF!</v>
      </c>
      <c r="P24" s="20" t="e">
        <f t="shared" ref="P24:P28" si="30">MAX(G24:J24)</f>
        <v>#REF!</v>
      </c>
      <c r="Q24" s="73" t="e">
        <f>AVERAGE(G24,I24,J24)</f>
        <v>#REF!</v>
      </c>
      <c r="R24" s="75" t="s">
        <v>120</v>
      </c>
      <c r="S24" s="1"/>
      <c r="T24" s="20" t="e">
        <f t="shared" si="7"/>
        <v>#REF!</v>
      </c>
      <c r="U24" s="20" t="e">
        <f t="shared" si="8"/>
        <v>#REF!</v>
      </c>
      <c r="V24" s="20" t="e">
        <f t="shared" si="9"/>
        <v>#REF!</v>
      </c>
      <c r="W24" s="20" t="e">
        <f t="shared" si="10"/>
        <v>#REF!</v>
      </c>
    </row>
    <row r="25" spans="1:23" ht="36" customHeight="1" x14ac:dyDescent="0.2">
      <c r="A25" s="127"/>
      <c r="B25" s="16">
        <v>4.2</v>
      </c>
      <c r="C25" s="17" t="s">
        <v>91</v>
      </c>
      <c r="D25" s="79" t="s">
        <v>125</v>
      </c>
      <c r="E25" s="16">
        <v>60</v>
      </c>
      <c r="F25" s="16">
        <v>1</v>
      </c>
      <c r="G25" s="20" t="e">
        <f>+#REF!</f>
        <v>#REF!</v>
      </c>
      <c r="H25" s="73">
        <v>6400000</v>
      </c>
      <c r="I25" s="20">
        <v>220000</v>
      </c>
      <c r="J25" s="20">
        <v>600000</v>
      </c>
      <c r="K25" s="20" t="e">
        <f t="shared" si="25"/>
        <v>#REF!</v>
      </c>
      <c r="L25" s="20" t="e">
        <f t="shared" si="26"/>
        <v>#REF!</v>
      </c>
      <c r="M25" s="20" t="e">
        <f t="shared" si="27"/>
        <v>#REF!</v>
      </c>
      <c r="N25" s="74" t="e">
        <f t="shared" si="28"/>
        <v>#REF!</v>
      </c>
      <c r="O25" s="73" t="e">
        <f t="shared" si="29"/>
        <v>#REF!</v>
      </c>
      <c r="P25" s="73" t="e">
        <f t="shared" si="30"/>
        <v>#REF!</v>
      </c>
      <c r="Q25" s="73">
        <v>475281.33333333331</v>
      </c>
      <c r="R25" s="75" t="s">
        <v>126</v>
      </c>
      <c r="S25" s="1"/>
      <c r="T25" s="20" t="e">
        <f t="shared" si="7"/>
        <v>#REF!</v>
      </c>
      <c r="U25" s="20" t="e">
        <f t="shared" si="8"/>
        <v>#REF!</v>
      </c>
      <c r="V25" s="20" t="e">
        <f t="shared" si="9"/>
        <v>#REF!</v>
      </c>
      <c r="W25" s="20" t="e">
        <f t="shared" si="10"/>
        <v>#REF!</v>
      </c>
    </row>
    <row r="26" spans="1:23" ht="16.5" customHeight="1" x14ac:dyDescent="0.2">
      <c r="A26" s="127"/>
      <c r="B26" s="16">
        <v>4.3</v>
      </c>
      <c r="C26" s="79" t="s">
        <v>127</v>
      </c>
      <c r="D26" s="79" t="s">
        <v>128</v>
      </c>
      <c r="E26" s="16">
        <v>60</v>
      </c>
      <c r="F26" s="64">
        <v>1</v>
      </c>
      <c r="G26" s="20" t="e">
        <f>#REF!</f>
        <v>#REF!</v>
      </c>
      <c r="H26" s="73">
        <v>5400000</v>
      </c>
      <c r="I26" s="20">
        <v>200000</v>
      </c>
      <c r="J26" s="20">
        <v>1200000</v>
      </c>
      <c r="K26" s="20" t="e">
        <f t="shared" si="25"/>
        <v>#REF!</v>
      </c>
      <c r="L26" s="20" t="e">
        <f t="shared" si="26"/>
        <v>#REF!</v>
      </c>
      <c r="M26" s="20" t="e">
        <f t="shared" si="27"/>
        <v>#REF!</v>
      </c>
      <c r="N26" s="74" t="e">
        <f t="shared" si="28"/>
        <v>#REF!</v>
      </c>
      <c r="O26" s="73" t="e">
        <f t="shared" si="29"/>
        <v>#REF!</v>
      </c>
      <c r="P26" s="73" t="e">
        <f t="shared" si="30"/>
        <v>#REF!</v>
      </c>
      <c r="Q26" s="73">
        <v>120000</v>
      </c>
      <c r="R26" s="75" t="s">
        <v>129</v>
      </c>
      <c r="S26" s="1"/>
      <c r="T26" s="20" t="e">
        <f t="shared" si="7"/>
        <v>#REF!</v>
      </c>
      <c r="U26" s="20" t="e">
        <f t="shared" si="8"/>
        <v>#REF!</v>
      </c>
      <c r="V26" s="20" t="e">
        <f t="shared" si="9"/>
        <v>#REF!</v>
      </c>
      <c r="W26" s="20" t="e">
        <f t="shared" si="10"/>
        <v>#REF!</v>
      </c>
    </row>
    <row r="27" spans="1:23" ht="16.5" customHeight="1" x14ac:dyDescent="0.2">
      <c r="A27" s="127"/>
      <c r="B27" s="16">
        <v>4.4000000000000004</v>
      </c>
      <c r="C27" s="17" t="s">
        <v>92</v>
      </c>
      <c r="D27" s="17" t="s">
        <v>130</v>
      </c>
      <c r="E27" s="16">
        <v>1</v>
      </c>
      <c r="F27" s="16">
        <v>20</v>
      </c>
      <c r="G27" s="20" t="e">
        <f>#REF!</f>
        <v>#REF!</v>
      </c>
      <c r="H27" s="73">
        <v>10700000</v>
      </c>
      <c r="I27" s="20">
        <f>400000+60*15000+400000</f>
        <v>1700000</v>
      </c>
      <c r="J27" s="20">
        <v>5000000</v>
      </c>
      <c r="K27" s="20" t="e">
        <f t="shared" si="25"/>
        <v>#REF!</v>
      </c>
      <c r="L27" s="20" t="e">
        <f t="shared" si="26"/>
        <v>#REF!</v>
      </c>
      <c r="M27" s="20" t="e">
        <f t="shared" si="27"/>
        <v>#REF!</v>
      </c>
      <c r="N27" s="74" t="e">
        <f t="shared" si="28"/>
        <v>#REF!</v>
      </c>
      <c r="O27" s="73" t="e">
        <f t="shared" si="29"/>
        <v>#REF!</v>
      </c>
      <c r="P27" s="73" t="e">
        <f t="shared" si="30"/>
        <v>#REF!</v>
      </c>
      <c r="Q27" s="73" t="e">
        <f>AVERAGE(G27,I27)</f>
        <v>#REF!</v>
      </c>
      <c r="R27" s="78" t="s">
        <v>131</v>
      </c>
      <c r="S27" s="1"/>
      <c r="T27" s="20" t="e">
        <f t="shared" si="7"/>
        <v>#REF!</v>
      </c>
      <c r="U27" s="20" t="e">
        <f t="shared" si="8"/>
        <v>#REF!</v>
      </c>
      <c r="V27" s="20" t="e">
        <f t="shared" si="9"/>
        <v>#REF!</v>
      </c>
      <c r="W27" s="20" t="e">
        <f t="shared" si="10"/>
        <v>#REF!</v>
      </c>
    </row>
    <row r="28" spans="1:23" ht="16.5" customHeight="1" x14ac:dyDescent="0.2">
      <c r="A28" s="102"/>
      <c r="B28" s="16">
        <v>4.5</v>
      </c>
      <c r="C28" s="17" t="s">
        <v>53</v>
      </c>
      <c r="D28" s="17" t="s">
        <v>54</v>
      </c>
      <c r="E28" s="16">
        <v>1</v>
      </c>
      <c r="F28" s="16">
        <v>20</v>
      </c>
      <c r="G28" s="20">
        <v>160000000</v>
      </c>
      <c r="H28" s="73">
        <v>13500000</v>
      </c>
      <c r="I28" s="20">
        <v>160000000</v>
      </c>
      <c r="J28" s="20">
        <v>160000000</v>
      </c>
      <c r="K28" s="20">
        <f t="shared" si="25"/>
        <v>123375000</v>
      </c>
      <c r="L28" s="20">
        <f t="shared" si="26"/>
        <v>160000000</v>
      </c>
      <c r="M28" s="20">
        <f t="shared" si="27"/>
        <v>73250000</v>
      </c>
      <c r="N28" s="70">
        <f t="shared" si="28"/>
        <v>0.59371833839918942</v>
      </c>
      <c r="O28" s="20">
        <f t="shared" si="29"/>
        <v>13500000</v>
      </c>
      <c r="P28" s="20">
        <f t="shared" si="30"/>
        <v>160000000</v>
      </c>
      <c r="Q28" s="20">
        <f t="shared" ref="Q28:Q29" si="31">L28</f>
        <v>160000000</v>
      </c>
      <c r="R28" s="71"/>
      <c r="S28" s="1"/>
      <c r="T28" s="20">
        <f t="shared" si="7"/>
        <v>146500000</v>
      </c>
      <c r="U28" s="20">
        <f t="shared" si="8"/>
        <v>0</v>
      </c>
      <c r="V28" s="20">
        <f t="shared" si="9"/>
        <v>0</v>
      </c>
      <c r="W28" s="20">
        <f t="shared" si="10"/>
        <v>36625000</v>
      </c>
    </row>
    <row r="29" spans="1:23" ht="16.5" customHeight="1" x14ac:dyDescent="0.2">
      <c r="A29" s="126" t="s">
        <v>55</v>
      </c>
      <c r="B29" s="100"/>
      <c r="C29" s="100"/>
      <c r="D29" s="100"/>
      <c r="E29" s="100"/>
      <c r="F29" s="101"/>
      <c r="G29" s="61" t="e">
        <f>SUM(G28,G24)</f>
        <v>#REF!</v>
      </c>
      <c r="H29" s="61"/>
      <c r="I29" s="61"/>
      <c r="J29" s="61"/>
      <c r="K29" s="61"/>
      <c r="L29" s="61"/>
      <c r="M29" s="61"/>
      <c r="N29" s="61"/>
      <c r="O29" s="61"/>
      <c r="P29" s="61"/>
      <c r="Q29" s="61">
        <f t="shared" si="31"/>
        <v>0</v>
      </c>
      <c r="R29" s="72"/>
      <c r="S29" s="1"/>
      <c r="T29" s="20" t="e">
        <f t="shared" si="7"/>
        <v>#REF!</v>
      </c>
      <c r="U29" s="20" t="e">
        <f t="shared" si="8"/>
        <v>#REF!</v>
      </c>
      <c r="V29" s="20" t="e">
        <f t="shared" si="9"/>
        <v>#REF!</v>
      </c>
      <c r="W29" s="20" t="e">
        <f t="shared" si="10"/>
        <v>#REF!</v>
      </c>
    </row>
    <row r="30" spans="1:23" ht="16.5" customHeight="1" x14ac:dyDescent="0.2">
      <c r="A30" s="125" t="s">
        <v>56</v>
      </c>
      <c r="B30" s="16">
        <v>5.0999999999999996</v>
      </c>
      <c r="C30" s="65" t="s">
        <v>93</v>
      </c>
      <c r="D30" s="17" t="s">
        <v>94</v>
      </c>
      <c r="E30" s="16">
        <v>120</v>
      </c>
      <c r="F30" s="16"/>
      <c r="G30" s="20" t="e">
        <f>#REF!</f>
        <v>#REF!</v>
      </c>
      <c r="H30" s="73">
        <v>13500000</v>
      </c>
      <c r="I30" s="20">
        <v>190000</v>
      </c>
      <c r="J30" s="20">
        <v>1300000</v>
      </c>
      <c r="K30" s="20" t="e">
        <f t="shared" ref="K30:K31" si="32">AVERAGE(G30:J30)</f>
        <v>#REF!</v>
      </c>
      <c r="L30" s="20" t="e">
        <f t="shared" ref="L30:L31" si="33">MEDIAN(G30:J30)</f>
        <v>#REF!</v>
      </c>
      <c r="M30" s="20" t="e">
        <f t="shared" ref="M30:M31" si="34">STDEVA(G30:J30)</f>
        <v>#REF!</v>
      </c>
      <c r="N30" s="74" t="e">
        <f t="shared" ref="N30:N31" si="35">M30/K30</f>
        <v>#REF!</v>
      </c>
      <c r="O30" s="20" t="e">
        <f t="shared" ref="O30:O31" si="36">MIN(G30:J30)</f>
        <v>#REF!</v>
      </c>
      <c r="P30" s="20" t="e">
        <f t="shared" ref="P30:P31" si="37">MAX(G30:J30)</f>
        <v>#REF!</v>
      </c>
      <c r="Q30" s="73">
        <v>475281.33333333331</v>
      </c>
      <c r="R30" s="75" t="s">
        <v>126</v>
      </c>
      <c r="S30" s="1"/>
      <c r="T30" s="20" t="e">
        <f t="shared" si="7"/>
        <v>#REF!</v>
      </c>
      <c r="U30" s="20" t="e">
        <f t="shared" si="8"/>
        <v>#REF!</v>
      </c>
      <c r="V30" s="20" t="e">
        <f t="shared" si="9"/>
        <v>#REF!</v>
      </c>
      <c r="W30" s="20" t="e">
        <f t="shared" si="10"/>
        <v>#REF!</v>
      </c>
    </row>
    <row r="31" spans="1:23" ht="16.5" customHeight="1" x14ac:dyDescent="0.2">
      <c r="A31" s="102"/>
      <c r="B31" s="16">
        <v>5.2</v>
      </c>
      <c r="C31" s="65" t="s">
        <v>132</v>
      </c>
      <c r="D31" s="17" t="s">
        <v>95</v>
      </c>
      <c r="E31" s="16">
        <v>120</v>
      </c>
      <c r="F31" s="16"/>
      <c r="G31" s="20" t="e">
        <f>#REF!</f>
        <v>#REF!</v>
      </c>
      <c r="H31" s="73">
        <v>18500000</v>
      </c>
      <c r="I31" s="20">
        <v>120000</v>
      </c>
      <c r="J31" s="20">
        <v>800000</v>
      </c>
      <c r="K31" s="20" t="e">
        <f t="shared" si="32"/>
        <v>#REF!</v>
      </c>
      <c r="L31" s="20" t="e">
        <f t="shared" si="33"/>
        <v>#REF!</v>
      </c>
      <c r="M31" s="20" t="e">
        <f t="shared" si="34"/>
        <v>#REF!</v>
      </c>
      <c r="N31" s="74" t="e">
        <f t="shared" si="35"/>
        <v>#REF!</v>
      </c>
      <c r="O31" s="20" t="e">
        <f t="shared" si="36"/>
        <v>#REF!</v>
      </c>
      <c r="P31" s="20" t="e">
        <f t="shared" si="37"/>
        <v>#REF!</v>
      </c>
      <c r="Q31" s="73">
        <v>120000</v>
      </c>
      <c r="R31" s="75" t="s">
        <v>129</v>
      </c>
      <c r="S31" s="1"/>
      <c r="T31" s="20" t="e">
        <f t="shared" si="7"/>
        <v>#REF!</v>
      </c>
      <c r="U31" s="20" t="e">
        <f t="shared" si="8"/>
        <v>#REF!</v>
      </c>
      <c r="V31" s="20" t="e">
        <f t="shared" si="9"/>
        <v>#REF!</v>
      </c>
      <c r="W31" s="20" t="e">
        <f t="shared" si="10"/>
        <v>#REF!</v>
      </c>
    </row>
    <row r="32" spans="1:23" ht="16.5" customHeight="1" x14ac:dyDescent="0.2">
      <c r="A32" s="126" t="s">
        <v>60</v>
      </c>
      <c r="B32" s="100"/>
      <c r="C32" s="100"/>
      <c r="D32" s="100"/>
      <c r="E32" s="100"/>
      <c r="F32" s="101"/>
      <c r="G32" s="61" t="e">
        <f>SUM(G30)</f>
        <v>#REF!</v>
      </c>
      <c r="H32" s="61"/>
      <c r="I32" s="61"/>
      <c r="J32" s="61"/>
      <c r="K32" s="61"/>
      <c r="L32" s="61"/>
      <c r="M32" s="61"/>
      <c r="N32" s="61"/>
      <c r="O32" s="61"/>
      <c r="P32" s="61"/>
      <c r="Q32" s="61">
        <f>L32</f>
        <v>0</v>
      </c>
      <c r="R32" s="72"/>
      <c r="S32" s="1"/>
      <c r="T32" s="20" t="e">
        <f t="shared" si="7"/>
        <v>#REF!</v>
      </c>
      <c r="U32" s="20" t="e">
        <f t="shared" si="8"/>
        <v>#REF!</v>
      </c>
      <c r="V32" s="20" t="e">
        <f t="shared" si="9"/>
        <v>#REF!</v>
      </c>
      <c r="W32" s="20" t="e">
        <f t="shared" si="10"/>
        <v>#REF!</v>
      </c>
    </row>
    <row r="33" spans="1:23" ht="51.75" customHeight="1" x14ac:dyDescent="0.2">
      <c r="A33" s="125" t="s">
        <v>96</v>
      </c>
      <c r="B33" s="16">
        <v>6.1</v>
      </c>
      <c r="C33" s="17" t="s">
        <v>97</v>
      </c>
      <c r="D33" s="17" t="s">
        <v>98</v>
      </c>
      <c r="E33" s="16">
        <v>4</v>
      </c>
      <c r="F33" s="16">
        <v>1.5</v>
      </c>
      <c r="G33" s="20" t="e">
        <f>#REF!</f>
        <v>#REF!</v>
      </c>
      <c r="H33" s="73">
        <v>10500000</v>
      </c>
      <c r="I33" s="20">
        <f>190000*1.5</f>
        <v>285000</v>
      </c>
      <c r="J33" s="20">
        <v>500000</v>
      </c>
      <c r="K33" s="20" t="e">
        <f t="shared" ref="K33:K34" si="38">AVERAGE(G33:J33)</f>
        <v>#REF!</v>
      </c>
      <c r="L33" s="20" t="e">
        <f t="shared" ref="L33:L34" si="39">MEDIAN(G33:J33)</f>
        <v>#REF!</v>
      </c>
      <c r="M33" s="20" t="e">
        <f t="shared" ref="M33:M34" si="40">STDEVA(G33:J33)</f>
        <v>#REF!</v>
      </c>
      <c r="N33" s="74" t="e">
        <f t="shared" ref="N33:N34" si="41">M33/K33</f>
        <v>#REF!</v>
      </c>
      <c r="O33" s="20" t="e">
        <f t="shared" ref="O33:O34" si="42">MIN(G33:J33)</f>
        <v>#REF!</v>
      </c>
      <c r="P33" s="20" t="e">
        <f t="shared" ref="P33:P34" si="43">MAX(G33:J33)</f>
        <v>#REF!</v>
      </c>
      <c r="Q33" s="73">
        <v>475281.33333333331</v>
      </c>
      <c r="R33" s="75" t="s">
        <v>126</v>
      </c>
      <c r="S33" s="1"/>
      <c r="T33" s="20" t="e">
        <f t="shared" si="7"/>
        <v>#REF!</v>
      </c>
      <c r="U33" s="20" t="e">
        <f t="shared" si="8"/>
        <v>#REF!</v>
      </c>
      <c r="V33" s="20" t="e">
        <f t="shared" si="9"/>
        <v>#REF!</v>
      </c>
      <c r="W33" s="20" t="e">
        <f t="shared" si="10"/>
        <v>#REF!</v>
      </c>
    </row>
    <row r="34" spans="1:23" ht="51.75" customHeight="1" x14ac:dyDescent="0.2">
      <c r="A34" s="102"/>
      <c r="B34" s="16">
        <v>6.2</v>
      </c>
      <c r="C34" s="17" t="s">
        <v>99</v>
      </c>
      <c r="D34" s="17" t="s">
        <v>100</v>
      </c>
      <c r="E34" s="16">
        <v>4</v>
      </c>
      <c r="F34" s="16">
        <v>1</v>
      </c>
      <c r="G34" s="20" t="e">
        <f>#REF!</f>
        <v>#REF!</v>
      </c>
      <c r="H34" s="73">
        <v>10500000</v>
      </c>
      <c r="I34" s="20">
        <v>1200000</v>
      </c>
      <c r="J34" s="20">
        <v>1000000</v>
      </c>
      <c r="K34" s="20" t="e">
        <f t="shared" si="38"/>
        <v>#REF!</v>
      </c>
      <c r="L34" s="20" t="e">
        <f t="shared" si="39"/>
        <v>#REF!</v>
      </c>
      <c r="M34" s="20" t="e">
        <f t="shared" si="40"/>
        <v>#REF!</v>
      </c>
      <c r="N34" s="74" t="e">
        <f t="shared" si="41"/>
        <v>#REF!</v>
      </c>
      <c r="O34" s="20" t="e">
        <f t="shared" si="42"/>
        <v>#REF!</v>
      </c>
      <c r="P34" s="20" t="e">
        <f t="shared" si="43"/>
        <v>#REF!</v>
      </c>
      <c r="Q34" s="73" t="e">
        <f t="shared" ref="Q34:Q40" si="44">L34</f>
        <v>#REF!</v>
      </c>
      <c r="R34" s="72"/>
      <c r="S34" s="1"/>
      <c r="T34" s="20" t="e">
        <f t="shared" si="7"/>
        <v>#REF!</v>
      </c>
      <c r="U34" s="20" t="e">
        <f t="shared" si="8"/>
        <v>#REF!</v>
      </c>
      <c r="V34" s="20" t="e">
        <f t="shared" si="9"/>
        <v>#REF!</v>
      </c>
      <c r="W34" s="20" t="e">
        <f t="shared" si="10"/>
        <v>#REF!</v>
      </c>
    </row>
    <row r="35" spans="1:23" ht="16.5" customHeight="1" x14ac:dyDescent="0.2">
      <c r="A35" s="126" t="s">
        <v>65</v>
      </c>
      <c r="B35" s="100"/>
      <c r="C35" s="100"/>
      <c r="D35" s="100"/>
      <c r="E35" s="100"/>
      <c r="F35" s="101"/>
      <c r="G35" s="61" t="e">
        <f>SUM(G33)</f>
        <v>#REF!</v>
      </c>
      <c r="H35" s="61"/>
      <c r="I35" s="61"/>
      <c r="J35" s="61"/>
      <c r="K35" s="61"/>
      <c r="L35" s="61"/>
      <c r="M35" s="61"/>
      <c r="N35" s="61"/>
      <c r="O35" s="61"/>
      <c r="P35" s="61"/>
      <c r="Q35" s="61">
        <f t="shared" si="44"/>
        <v>0</v>
      </c>
      <c r="R35" s="72"/>
      <c r="S35" s="1"/>
      <c r="T35" s="20" t="e">
        <f t="shared" si="7"/>
        <v>#REF!</v>
      </c>
      <c r="U35" s="20" t="e">
        <f t="shared" si="8"/>
        <v>#REF!</v>
      </c>
      <c r="V35" s="20" t="e">
        <f t="shared" si="9"/>
        <v>#REF!</v>
      </c>
      <c r="W35" s="20" t="e">
        <f t="shared" si="10"/>
        <v>#REF!</v>
      </c>
    </row>
    <row r="36" spans="1:23" ht="16.5" customHeight="1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f t="shared" si="44"/>
        <v>0</v>
      </c>
      <c r="R36" s="80"/>
      <c r="S36" s="1"/>
      <c r="T36" s="20">
        <f t="shared" si="7"/>
        <v>0</v>
      </c>
      <c r="U36" s="20">
        <f t="shared" si="8"/>
        <v>0</v>
      </c>
      <c r="V36" s="20">
        <f t="shared" si="9"/>
        <v>0</v>
      </c>
      <c r="W36" s="20">
        <f t="shared" si="10"/>
        <v>0</v>
      </c>
    </row>
    <row r="37" spans="1:23" ht="16.5" customHeight="1" x14ac:dyDescent="0.2">
      <c r="A37" s="1"/>
      <c r="B37" s="103" t="s">
        <v>66</v>
      </c>
      <c r="C37" s="104"/>
      <c r="D37" s="104"/>
      <c r="E37" s="104"/>
      <c r="F37" s="105"/>
      <c r="G37" s="41" t="e">
        <f>SUM(G35,G32,G29,G23,G15,G12)</f>
        <v>#REF!</v>
      </c>
      <c r="H37" s="41"/>
      <c r="I37" s="81"/>
      <c r="J37" s="81"/>
      <c r="K37" s="81"/>
      <c r="L37" s="81"/>
      <c r="M37" s="81"/>
      <c r="N37" s="81"/>
      <c r="O37" s="81"/>
      <c r="P37" s="81"/>
      <c r="Q37" s="81">
        <f t="shared" si="44"/>
        <v>0</v>
      </c>
      <c r="R37" s="82"/>
      <c r="S37" s="1"/>
      <c r="T37" s="20" t="e">
        <f t="shared" si="7"/>
        <v>#REF!</v>
      </c>
      <c r="U37" s="20" t="e">
        <f t="shared" si="8"/>
        <v>#REF!</v>
      </c>
      <c r="V37" s="20" t="e">
        <f t="shared" si="9"/>
        <v>#REF!</v>
      </c>
      <c r="W37" s="20" t="e">
        <f t="shared" si="10"/>
        <v>#REF!</v>
      </c>
    </row>
    <row r="38" spans="1:23" ht="16.5" customHeight="1" x14ac:dyDescent="0.2">
      <c r="A38" s="1"/>
      <c r="B38" s="43">
        <v>3</v>
      </c>
      <c r="C38" s="44" t="s">
        <v>67</v>
      </c>
      <c r="D38" s="45"/>
      <c r="E38" s="46" t="s">
        <v>68</v>
      </c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>
        <f t="shared" si="44"/>
        <v>0</v>
      </c>
      <c r="R38" s="71"/>
      <c r="S38" s="1"/>
      <c r="T38" s="20">
        <f t="shared" si="7"/>
        <v>0</v>
      </c>
      <c r="U38" s="20">
        <f t="shared" si="8"/>
        <v>0</v>
      </c>
      <c r="V38" s="20">
        <f t="shared" si="9"/>
        <v>0</v>
      </c>
      <c r="W38" s="20">
        <f t="shared" si="10"/>
        <v>0</v>
      </c>
    </row>
    <row r="39" spans="1:23" ht="16.5" customHeight="1" x14ac:dyDescent="0.2">
      <c r="A39" s="1"/>
      <c r="B39" s="49">
        <v>3.1</v>
      </c>
      <c r="C39" s="50" t="s">
        <v>69</v>
      </c>
      <c r="D39" s="17" t="s">
        <v>70</v>
      </c>
      <c r="E39" s="1"/>
      <c r="F39" s="16" t="s">
        <v>71</v>
      </c>
      <c r="G39" s="51">
        <v>0.14000000000000001</v>
      </c>
      <c r="H39" s="51">
        <v>0.05</v>
      </c>
      <c r="I39" s="51">
        <v>0.17499999999999999</v>
      </c>
      <c r="J39" s="51">
        <v>0.16</v>
      </c>
      <c r="K39" s="51">
        <f>AVERAGE(G39:J39)</f>
        <v>0.13125000000000001</v>
      </c>
      <c r="L39" s="51">
        <f>MEDIAN(G39:J39)</f>
        <v>0.15000000000000002</v>
      </c>
      <c r="M39" s="51">
        <f>STDEVA(G39:J39)</f>
        <v>5.6031984913380767E-2</v>
      </c>
      <c r="N39" s="51">
        <f>M39/K39</f>
        <v>0.4269103612448058</v>
      </c>
      <c r="O39" s="51">
        <f>MIN(G39:J39)</f>
        <v>0.05</v>
      </c>
      <c r="P39" s="51">
        <f>MAX(G39:J39)</f>
        <v>0.17499999999999999</v>
      </c>
      <c r="Q39" s="51">
        <f t="shared" si="44"/>
        <v>0.15000000000000002</v>
      </c>
      <c r="R39" s="83"/>
      <c r="S39" s="1"/>
      <c r="T39" s="70">
        <f t="shared" si="7"/>
        <v>9.0000000000000011E-2</v>
      </c>
      <c r="U39" s="70">
        <f t="shared" si="8"/>
        <v>-3.4999999999999976E-2</v>
      </c>
      <c r="V39" s="70">
        <f t="shared" si="9"/>
        <v>-1.999999999999999E-2</v>
      </c>
      <c r="W39" s="70">
        <f t="shared" si="10"/>
        <v>8.7500000000000078E-3</v>
      </c>
    </row>
    <row r="40" spans="1:23" ht="16.5" customHeight="1" x14ac:dyDescent="0.2">
      <c r="A40" s="1"/>
      <c r="B40" s="52"/>
      <c r="C40" s="53" t="s">
        <v>133</v>
      </c>
      <c r="D40" s="53"/>
      <c r="E40" s="54"/>
      <c r="F40" s="54"/>
      <c r="G40" s="55"/>
      <c r="H40" s="55"/>
      <c r="I40" s="55"/>
      <c r="J40" s="84"/>
      <c r="K40" s="84"/>
      <c r="L40" s="84"/>
      <c r="M40" s="84"/>
      <c r="N40" s="84"/>
      <c r="O40" s="84"/>
      <c r="P40" s="84"/>
      <c r="Q40" s="84">
        <f t="shared" si="44"/>
        <v>0</v>
      </c>
      <c r="R40" s="80"/>
      <c r="S40" s="1"/>
      <c r="T40" s="20">
        <f t="shared" si="7"/>
        <v>0</v>
      </c>
      <c r="U40" s="63"/>
      <c r="V40" s="20">
        <f t="shared" si="9"/>
        <v>0</v>
      </c>
      <c r="W40" s="20">
        <f t="shared" si="10"/>
        <v>0</v>
      </c>
    </row>
    <row r="41" spans="1:23" ht="16.5" customHeight="1" x14ac:dyDescent="0.2">
      <c r="A41" s="1"/>
      <c r="B41" s="1"/>
      <c r="C41" s="53" t="s">
        <v>134</v>
      </c>
      <c r="D41" s="1"/>
      <c r="E41" s="1"/>
      <c r="F41" s="1"/>
      <c r="G41" s="1"/>
      <c r="H41" s="51">
        <v>0</v>
      </c>
      <c r="I41" s="51">
        <f>19%</f>
        <v>0.19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5" customHeight="1" x14ac:dyDescent="0.2">
      <c r="A42" s="1"/>
      <c r="B42" s="1"/>
      <c r="C42" s="53" t="s">
        <v>135</v>
      </c>
      <c r="D42" s="1"/>
      <c r="E42" s="1"/>
      <c r="F42" s="1"/>
      <c r="G42" s="1"/>
      <c r="H42" s="55"/>
      <c r="I42" s="5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</sheetData>
  <autoFilter ref="A5:W5" xr:uid="{00000000-0009-0000-0000-000007000000}"/>
  <mergeCells count="17">
    <mergeCell ref="B1:G1"/>
    <mergeCell ref="B2:C3"/>
    <mergeCell ref="D2:G3"/>
    <mergeCell ref="A12:F12"/>
    <mergeCell ref="T4:W4"/>
    <mergeCell ref="A33:A34"/>
    <mergeCell ref="A35:F35"/>
    <mergeCell ref="B37:F37"/>
    <mergeCell ref="A6:A11"/>
    <mergeCell ref="A16:A22"/>
    <mergeCell ref="A13:A14"/>
    <mergeCell ref="A23:F23"/>
    <mergeCell ref="A24:A28"/>
    <mergeCell ref="A29:F29"/>
    <mergeCell ref="A30:A31"/>
    <mergeCell ref="A32:F32"/>
    <mergeCell ref="A15:F15"/>
  </mergeCells>
  <conditionalFormatting sqref="T6:T40">
    <cfRule type="cellIs" dxfId="1" priority="1" operator="lessThan">
      <formula>0</formula>
    </cfRule>
  </conditionalFormatting>
  <conditionalFormatting sqref="U6:W39 V40:W40">
    <cfRule type="cellIs" dxfId="0" priority="2" operator="lessThan">
      <formula>0</formula>
    </cfRule>
  </conditionalFormatting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baseColWidth="10" defaultColWidth="12.6640625" defaultRowHeight="15" customHeight="1" x14ac:dyDescent="0.2"/>
  <cols>
    <col min="1" max="1" width="18.1640625" customWidth="1"/>
    <col min="2" max="2" width="11.1640625" customWidth="1"/>
    <col min="3" max="3" width="22.6640625" customWidth="1"/>
    <col min="4" max="4" width="41.83203125" customWidth="1"/>
    <col min="5" max="5" width="17" customWidth="1"/>
    <col min="6" max="6" width="8.1640625" customWidth="1"/>
    <col min="7" max="8" width="15.6640625" hidden="1" customWidth="1"/>
    <col min="9" max="10" width="15.6640625" customWidth="1"/>
    <col min="11" max="11" width="10" customWidth="1"/>
  </cols>
  <sheetData>
    <row r="1" spans="1:11" ht="47.25" customHeight="1" x14ac:dyDescent="0.2">
      <c r="A1" s="1"/>
      <c r="B1" s="114" t="s">
        <v>0</v>
      </c>
      <c r="C1" s="115"/>
      <c r="D1" s="115"/>
      <c r="E1" s="115"/>
      <c r="F1" s="116"/>
      <c r="G1" s="1"/>
      <c r="H1" s="1"/>
      <c r="I1" s="1"/>
      <c r="J1" s="1"/>
      <c r="K1" s="1"/>
    </row>
    <row r="2" spans="1:11" ht="16.5" customHeight="1" x14ac:dyDescent="0.2">
      <c r="A2" s="1"/>
      <c r="B2" s="117" t="s">
        <v>1</v>
      </c>
      <c r="C2" s="118"/>
      <c r="D2" s="121"/>
      <c r="E2" s="122"/>
      <c r="F2" s="128"/>
      <c r="G2" s="1"/>
      <c r="H2" s="1"/>
      <c r="I2" s="1"/>
      <c r="J2" s="1"/>
      <c r="K2" s="1"/>
    </row>
    <row r="3" spans="1:11" ht="16.5" customHeight="1" x14ac:dyDescent="0.2">
      <c r="A3" s="1"/>
      <c r="B3" s="119"/>
      <c r="C3" s="120"/>
      <c r="D3" s="119"/>
      <c r="E3" s="123"/>
      <c r="F3" s="129"/>
      <c r="G3" s="1"/>
      <c r="H3" s="1"/>
      <c r="I3" s="1"/>
      <c r="J3" s="1"/>
      <c r="K3" s="1"/>
    </row>
    <row r="4" spans="1:11" ht="50.25" customHeight="1" x14ac:dyDescent="0.2">
      <c r="A4" s="1"/>
      <c r="B4" s="2"/>
      <c r="C4" s="2"/>
      <c r="D4" s="3"/>
      <c r="E4" s="4"/>
      <c r="F4" s="4"/>
      <c r="G4" s="67"/>
      <c r="H4" s="67"/>
      <c r="I4" s="67"/>
      <c r="J4" s="67"/>
      <c r="K4" s="1"/>
    </row>
    <row r="5" spans="1:11" ht="16.5" customHeight="1" x14ac:dyDescent="0.2">
      <c r="A5" s="57" t="s">
        <v>2</v>
      </c>
      <c r="B5" s="57" t="s">
        <v>3</v>
      </c>
      <c r="C5" s="58" t="s">
        <v>4</v>
      </c>
      <c r="D5" s="57" t="s">
        <v>5</v>
      </c>
      <c r="E5" s="57" t="s">
        <v>73</v>
      </c>
      <c r="F5" s="57" t="s">
        <v>7</v>
      </c>
      <c r="G5" s="69" t="s">
        <v>110</v>
      </c>
      <c r="H5" s="69" t="s">
        <v>111</v>
      </c>
      <c r="I5" s="69" t="s">
        <v>144</v>
      </c>
      <c r="J5" s="69" t="s">
        <v>136</v>
      </c>
      <c r="K5" s="1"/>
    </row>
    <row r="6" spans="1:11" ht="16.5" customHeight="1" x14ac:dyDescent="0.2">
      <c r="A6" s="125" t="s">
        <v>10</v>
      </c>
      <c r="B6" s="16">
        <v>1.1000000000000001</v>
      </c>
      <c r="C6" s="17" t="s">
        <v>11</v>
      </c>
      <c r="D6" s="17" t="s">
        <v>12</v>
      </c>
      <c r="E6" s="16">
        <v>1</v>
      </c>
      <c r="F6" s="60">
        <v>7.5</v>
      </c>
      <c r="G6" s="20" t="e">
        <f t="shared" ref="G6:G11" si="0">MIN(#REF!)</f>
        <v>#REF!</v>
      </c>
      <c r="H6" s="20" t="e">
        <f t="shared" ref="H6:H11" si="1">MAX(#REF!)</f>
        <v>#REF!</v>
      </c>
      <c r="I6" s="18">
        <v>10295000</v>
      </c>
      <c r="J6" s="20">
        <f t="shared" ref="J6:J11" si="2">E6*F6*I6</f>
        <v>77212500</v>
      </c>
      <c r="K6" s="1"/>
    </row>
    <row r="7" spans="1:11" ht="16.5" customHeight="1" x14ac:dyDescent="0.2">
      <c r="A7" s="127"/>
      <c r="B7" s="16">
        <v>1.2</v>
      </c>
      <c r="C7" s="17" t="s">
        <v>13</v>
      </c>
      <c r="D7" s="17" t="s">
        <v>14</v>
      </c>
      <c r="E7" s="16">
        <v>1</v>
      </c>
      <c r="F7" s="60">
        <v>7.5</v>
      </c>
      <c r="G7" s="20" t="e">
        <f t="shared" si="0"/>
        <v>#REF!</v>
      </c>
      <c r="H7" s="20" t="e">
        <f t="shared" si="1"/>
        <v>#REF!</v>
      </c>
      <c r="I7" s="18">
        <v>8295000</v>
      </c>
      <c r="J7" s="20">
        <f t="shared" si="2"/>
        <v>62212500</v>
      </c>
      <c r="K7" s="1"/>
    </row>
    <row r="8" spans="1:11" ht="16.5" customHeight="1" x14ac:dyDescent="0.2">
      <c r="A8" s="127"/>
      <c r="B8" s="16">
        <v>1.3</v>
      </c>
      <c r="C8" s="17" t="s">
        <v>15</v>
      </c>
      <c r="D8" s="17" t="s">
        <v>145</v>
      </c>
      <c r="E8" s="16">
        <v>10</v>
      </c>
      <c r="F8" s="60">
        <v>7</v>
      </c>
      <c r="G8" s="20" t="e">
        <f t="shared" si="0"/>
        <v>#REF!</v>
      </c>
      <c r="H8" s="20" t="e">
        <f t="shared" si="1"/>
        <v>#REF!</v>
      </c>
      <c r="I8" s="18">
        <v>5459600</v>
      </c>
      <c r="J8" s="20">
        <f t="shared" si="2"/>
        <v>382172000</v>
      </c>
      <c r="K8" s="1"/>
    </row>
    <row r="9" spans="1:11" ht="16.5" customHeight="1" x14ac:dyDescent="0.2">
      <c r="A9" s="127"/>
      <c r="B9" s="16">
        <v>1.4</v>
      </c>
      <c r="C9" s="17" t="s">
        <v>75</v>
      </c>
      <c r="D9" s="17" t="s">
        <v>146</v>
      </c>
      <c r="E9" s="16">
        <v>5</v>
      </c>
      <c r="F9" s="60">
        <v>7</v>
      </c>
      <c r="G9" s="20" t="e">
        <f t="shared" si="0"/>
        <v>#REF!</v>
      </c>
      <c r="H9" s="20" t="e">
        <f t="shared" si="1"/>
        <v>#REF!</v>
      </c>
      <c r="I9" s="18">
        <v>5459600</v>
      </c>
      <c r="J9" s="20">
        <f t="shared" si="2"/>
        <v>191086000</v>
      </c>
      <c r="K9" s="1"/>
    </row>
    <row r="10" spans="1:11" ht="16.5" customHeight="1" x14ac:dyDescent="0.2">
      <c r="A10" s="127"/>
      <c r="B10" s="16">
        <v>1.5</v>
      </c>
      <c r="C10" s="17" t="s">
        <v>19</v>
      </c>
      <c r="D10" s="17" t="s">
        <v>76</v>
      </c>
      <c r="E10" s="16">
        <v>5</v>
      </c>
      <c r="F10" s="60">
        <v>7</v>
      </c>
      <c r="G10" s="20" t="e">
        <f t="shared" si="0"/>
        <v>#REF!</v>
      </c>
      <c r="H10" s="20" t="e">
        <f t="shared" si="1"/>
        <v>#REF!</v>
      </c>
      <c r="I10" s="18">
        <v>5459600</v>
      </c>
      <c r="J10" s="20">
        <f t="shared" si="2"/>
        <v>191086000</v>
      </c>
      <c r="K10" s="1"/>
    </row>
    <row r="11" spans="1:11" ht="46.5" customHeight="1" x14ac:dyDescent="0.2">
      <c r="A11" s="102"/>
      <c r="B11" s="16">
        <v>1.6</v>
      </c>
      <c r="C11" s="17" t="s">
        <v>25</v>
      </c>
      <c r="D11" s="17" t="s">
        <v>77</v>
      </c>
      <c r="E11" s="16">
        <v>10</v>
      </c>
      <c r="F11" s="60">
        <v>7</v>
      </c>
      <c r="G11" s="20" t="e">
        <f t="shared" si="0"/>
        <v>#REF!</v>
      </c>
      <c r="H11" s="20" t="e">
        <f t="shared" si="1"/>
        <v>#REF!</v>
      </c>
      <c r="I11" s="18">
        <v>5459600</v>
      </c>
      <c r="J11" s="20">
        <f t="shared" si="2"/>
        <v>382172000</v>
      </c>
      <c r="K11" s="1"/>
    </row>
    <row r="12" spans="1:11" ht="16.5" customHeight="1" x14ac:dyDescent="0.2">
      <c r="A12" s="126" t="s">
        <v>27</v>
      </c>
      <c r="B12" s="100"/>
      <c r="C12" s="100"/>
      <c r="D12" s="100"/>
      <c r="E12" s="100"/>
      <c r="F12" s="101"/>
      <c r="G12" s="61"/>
      <c r="H12" s="61"/>
      <c r="I12" s="61">
        <v>0</v>
      </c>
      <c r="J12" s="61">
        <f>SUM(J6:J11)</f>
        <v>1285941000</v>
      </c>
      <c r="K12" s="1"/>
    </row>
    <row r="13" spans="1:11" ht="16.5" customHeight="1" x14ac:dyDescent="0.2">
      <c r="A13" s="125" t="s">
        <v>28</v>
      </c>
      <c r="B13" s="16" t="s">
        <v>29</v>
      </c>
      <c r="C13" s="17" t="s">
        <v>78</v>
      </c>
      <c r="D13" s="27" t="s">
        <v>79</v>
      </c>
      <c r="E13" s="16">
        <v>5</v>
      </c>
      <c r="F13" s="16">
        <v>20</v>
      </c>
      <c r="G13" s="20" t="e">
        <f t="shared" ref="G13:G14" si="3">MIN(#REF!)</f>
        <v>#REF!</v>
      </c>
      <c r="H13" s="20" t="e">
        <f t="shared" ref="H13:H14" si="4">MAX(#REF!)</f>
        <v>#REF!</v>
      </c>
      <c r="I13" s="18">
        <v>2700000</v>
      </c>
      <c r="J13" s="20">
        <f>E13*F13*I13</f>
        <v>270000000</v>
      </c>
      <c r="K13" s="1"/>
    </row>
    <row r="14" spans="1:11" ht="16.5" customHeight="1" x14ac:dyDescent="0.2">
      <c r="A14" s="102"/>
      <c r="B14" s="16" t="s">
        <v>32</v>
      </c>
      <c r="C14" s="17" t="s">
        <v>80</v>
      </c>
      <c r="D14" s="27" t="s">
        <v>81</v>
      </c>
      <c r="E14" s="16">
        <v>100</v>
      </c>
      <c r="F14" s="16"/>
      <c r="G14" s="20" t="e">
        <f t="shared" si="3"/>
        <v>#REF!</v>
      </c>
      <c r="H14" s="20" t="e">
        <f t="shared" si="4"/>
        <v>#REF!</v>
      </c>
      <c r="I14" s="18">
        <v>105000</v>
      </c>
      <c r="J14" s="20">
        <f>E14*I14</f>
        <v>10500000</v>
      </c>
      <c r="K14" s="1"/>
    </row>
    <row r="15" spans="1:11" ht="16.5" customHeight="1" x14ac:dyDescent="0.2">
      <c r="A15" s="126" t="s">
        <v>41</v>
      </c>
      <c r="B15" s="100"/>
      <c r="C15" s="100"/>
      <c r="D15" s="100"/>
      <c r="E15" s="100"/>
      <c r="F15" s="101"/>
      <c r="G15" s="61"/>
      <c r="H15" s="61"/>
      <c r="I15" s="61">
        <v>0</v>
      </c>
      <c r="J15" s="61">
        <f>SUM(J13:J14)</f>
        <v>280500000</v>
      </c>
      <c r="K15" s="1"/>
    </row>
    <row r="16" spans="1:11" ht="63" customHeight="1" x14ac:dyDescent="0.2">
      <c r="A16" s="125" t="s">
        <v>42</v>
      </c>
      <c r="B16" s="16">
        <v>3.1</v>
      </c>
      <c r="C16" s="29" t="s">
        <v>82</v>
      </c>
      <c r="D16" s="29" t="s">
        <v>83</v>
      </c>
      <c r="E16" s="16">
        <v>12</v>
      </c>
      <c r="F16" s="16">
        <v>3</v>
      </c>
      <c r="G16" s="20" t="e">
        <f t="shared" ref="G16:G22" si="5">MIN(#REF!)</f>
        <v>#REF!</v>
      </c>
      <c r="H16" s="20" t="e">
        <f t="shared" ref="H16:H22" si="6">MAX(#REF!)</f>
        <v>#REF!</v>
      </c>
      <c r="I16" s="18">
        <v>899130</v>
      </c>
      <c r="J16" s="20">
        <f t="shared" ref="J16:J17" si="7">E16*F16*I16</f>
        <v>32368680</v>
      </c>
      <c r="K16" s="1"/>
    </row>
    <row r="17" spans="1:11" ht="181.5" customHeight="1" x14ac:dyDescent="0.2">
      <c r="A17" s="127"/>
      <c r="B17" s="16">
        <v>3.2</v>
      </c>
      <c r="C17" s="17" t="s">
        <v>45</v>
      </c>
      <c r="D17" s="29" t="s">
        <v>118</v>
      </c>
      <c r="E17" s="16">
        <v>100</v>
      </c>
      <c r="F17" s="16">
        <v>60</v>
      </c>
      <c r="G17" s="20" t="e">
        <f t="shared" si="5"/>
        <v>#REF!</v>
      </c>
      <c r="H17" s="20" t="e">
        <f t="shared" si="6"/>
        <v>#REF!</v>
      </c>
      <c r="I17" s="18">
        <v>9720</v>
      </c>
      <c r="J17" s="20">
        <f t="shared" si="7"/>
        <v>58320000</v>
      </c>
      <c r="K17" s="1"/>
    </row>
    <row r="18" spans="1:11" ht="96.75" customHeight="1" x14ac:dyDescent="0.2">
      <c r="A18" s="127"/>
      <c r="B18" s="16">
        <v>3.3</v>
      </c>
      <c r="C18" s="17" t="s">
        <v>84</v>
      </c>
      <c r="D18" s="29" t="s">
        <v>85</v>
      </c>
      <c r="E18" s="16">
        <v>80</v>
      </c>
      <c r="F18" s="16"/>
      <c r="G18" s="20" t="e">
        <f t="shared" si="5"/>
        <v>#REF!</v>
      </c>
      <c r="H18" s="20" t="e">
        <f t="shared" si="6"/>
        <v>#REF!</v>
      </c>
      <c r="I18" s="18">
        <v>153333.33333333334</v>
      </c>
      <c r="J18" s="20">
        <f>E18*I18</f>
        <v>12266666.666666668</v>
      </c>
      <c r="K18" s="1"/>
    </row>
    <row r="19" spans="1:11" ht="99.75" customHeight="1" x14ac:dyDescent="0.2">
      <c r="A19" s="127"/>
      <c r="B19" s="16">
        <v>3.4</v>
      </c>
      <c r="C19" s="17" t="s">
        <v>86</v>
      </c>
      <c r="D19" s="29" t="s">
        <v>121</v>
      </c>
      <c r="E19" s="16">
        <v>24</v>
      </c>
      <c r="F19" s="16">
        <v>20</v>
      </c>
      <c r="G19" s="20" t="e">
        <f t="shared" si="5"/>
        <v>#REF!</v>
      </c>
      <c r="H19" s="20" t="e">
        <f t="shared" si="6"/>
        <v>#REF!</v>
      </c>
      <c r="I19" s="18">
        <v>475281.33333333331</v>
      </c>
      <c r="J19" s="20">
        <f t="shared" ref="J19:J20" si="8">E19*F19*I19</f>
        <v>228135040</v>
      </c>
      <c r="K19" s="1"/>
    </row>
    <row r="20" spans="1:11" ht="99.75" customHeight="1" x14ac:dyDescent="0.2">
      <c r="A20" s="127"/>
      <c r="B20" s="16">
        <v>3.5</v>
      </c>
      <c r="C20" s="17" t="s">
        <v>87</v>
      </c>
      <c r="D20" s="29" t="s">
        <v>122</v>
      </c>
      <c r="E20" s="16">
        <v>60</v>
      </c>
      <c r="F20" s="16">
        <v>2</v>
      </c>
      <c r="G20" s="20" t="e">
        <f t="shared" si="5"/>
        <v>#REF!</v>
      </c>
      <c r="H20" s="20" t="e">
        <f t="shared" si="6"/>
        <v>#REF!</v>
      </c>
      <c r="I20" s="18">
        <v>105000</v>
      </c>
      <c r="J20" s="20">
        <f t="shared" si="8"/>
        <v>12600000</v>
      </c>
      <c r="K20" s="1"/>
    </row>
    <row r="21" spans="1:11" ht="99.75" customHeight="1" x14ac:dyDescent="0.2">
      <c r="A21" s="127"/>
      <c r="B21" s="16">
        <v>3.6</v>
      </c>
      <c r="C21" s="17" t="s">
        <v>74</v>
      </c>
      <c r="D21" s="29" t="s">
        <v>88</v>
      </c>
      <c r="E21" s="16">
        <v>1400</v>
      </c>
      <c r="F21" s="63"/>
      <c r="G21" s="20" t="e">
        <f t="shared" si="5"/>
        <v>#REF!</v>
      </c>
      <c r="H21" s="20" t="e">
        <f t="shared" si="6"/>
        <v>#REF!</v>
      </c>
      <c r="I21" s="18">
        <v>7500</v>
      </c>
      <c r="J21" s="20">
        <f>E21*I21</f>
        <v>10500000</v>
      </c>
      <c r="K21" s="1"/>
    </row>
    <row r="22" spans="1:11" ht="183.75" customHeight="1" x14ac:dyDescent="0.2">
      <c r="A22" s="102"/>
      <c r="B22" s="16">
        <v>3.7</v>
      </c>
      <c r="C22" s="17" t="s">
        <v>89</v>
      </c>
      <c r="D22" s="29" t="s">
        <v>90</v>
      </c>
      <c r="E22" s="16">
        <v>1</v>
      </c>
      <c r="F22" s="16">
        <v>20</v>
      </c>
      <c r="G22" s="20" t="e">
        <f t="shared" si="5"/>
        <v>#REF!</v>
      </c>
      <c r="H22" s="20" t="e">
        <f t="shared" si="6"/>
        <v>#REF!</v>
      </c>
      <c r="I22" s="18">
        <v>147500</v>
      </c>
      <c r="J22" s="20">
        <f>E22*F22*I22</f>
        <v>2950000</v>
      </c>
      <c r="K22" s="1"/>
    </row>
    <row r="23" spans="1:11" ht="16.5" customHeight="1" x14ac:dyDescent="0.2">
      <c r="A23" s="126" t="s">
        <v>47</v>
      </c>
      <c r="B23" s="100"/>
      <c r="C23" s="100"/>
      <c r="D23" s="100"/>
      <c r="E23" s="100"/>
      <c r="F23" s="101"/>
      <c r="G23" s="61"/>
      <c r="H23" s="61"/>
      <c r="I23" s="61">
        <v>0</v>
      </c>
      <c r="J23" s="61">
        <f>SUM(J16:J22)</f>
        <v>357140386.66666669</v>
      </c>
      <c r="K23" s="1"/>
    </row>
    <row r="24" spans="1:11" ht="16.5" customHeight="1" x14ac:dyDescent="0.2">
      <c r="A24" s="125" t="s">
        <v>48</v>
      </c>
      <c r="B24" s="16">
        <v>4.0999999999999996</v>
      </c>
      <c r="C24" s="17" t="s">
        <v>50</v>
      </c>
      <c r="D24" s="17" t="s">
        <v>147</v>
      </c>
      <c r="E24" s="16">
        <v>10</v>
      </c>
      <c r="F24" s="16">
        <v>20</v>
      </c>
      <c r="G24" s="20" t="e">
        <f t="shared" ref="G24:G28" si="9">MIN(#REF!)</f>
        <v>#REF!</v>
      </c>
      <c r="H24" s="20" t="e">
        <f t="shared" ref="H24:H28" si="10">MAX(#REF!)</f>
        <v>#REF!</v>
      </c>
      <c r="I24" s="18">
        <v>153333.33333333334</v>
      </c>
      <c r="J24" s="20">
        <f t="shared" ref="J24:J28" si="11">E24*F24*I24</f>
        <v>30666666.666666668</v>
      </c>
      <c r="K24" s="1"/>
    </row>
    <row r="25" spans="1:11" ht="36" customHeight="1" x14ac:dyDescent="0.2">
      <c r="A25" s="127"/>
      <c r="B25" s="16">
        <v>4.2</v>
      </c>
      <c r="C25" s="17" t="s">
        <v>91</v>
      </c>
      <c r="D25" s="17" t="s">
        <v>125</v>
      </c>
      <c r="E25" s="16">
        <v>60</v>
      </c>
      <c r="F25" s="16">
        <v>1</v>
      </c>
      <c r="G25" s="20" t="e">
        <f t="shared" si="9"/>
        <v>#REF!</v>
      </c>
      <c r="H25" s="20" t="e">
        <f t="shared" si="10"/>
        <v>#REF!</v>
      </c>
      <c r="I25" s="18">
        <v>475281.33333333331</v>
      </c>
      <c r="J25" s="20">
        <f t="shared" si="11"/>
        <v>28516880</v>
      </c>
      <c r="K25" s="1"/>
    </row>
    <row r="26" spans="1:11" ht="16.5" customHeight="1" x14ac:dyDescent="0.2">
      <c r="A26" s="127"/>
      <c r="B26" s="16">
        <v>4.3</v>
      </c>
      <c r="C26" s="17" t="s">
        <v>127</v>
      </c>
      <c r="D26" s="17" t="s">
        <v>128</v>
      </c>
      <c r="E26" s="16">
        <v>60</v>
      </c>
      <c r="F26" s="64">
        <v>1</v>
      </c>
      <c r="G26" s="20" t="e">
        <f t="shared" si="9"/>
        <v>#REF!</v>
      </c>
      <c r="H26" s="20" t="e">
        <f t="shared" si="10"/>
        <v>#REF!</v>
      </c>
      <c r="I26" s="18">
        <v>105000</v>
      </c>
      <c r="J26" s="20">
        <f t="shared" si="11"/>
        <v>6300000</v>
      </c>
      <c r="K26" s="1"/>
    </row>
    <row r="27" spans="1:11" ht="16.5" customHeight="1" x14ac:dyDescent="0.2">
      <c r="A27" s="127"/>
      <c r="B27" s="16">
        <v>4.4000000000000004</v>
      </c>
      <c r="C27" s="17" t="s">
        <v>92</v>
      </c>
      <c r="D27" s="17" t="s">
        <v>130</v>
      </c>
      <c r="E27" s="16">
        <v>1</v>
      </c>
      <c r="F27" s="16">
        <v>20</v>
      </c>
      <c r="G27" s="20" t="e">
        <f t="shared" si="9"/>
        <v>#REF!</v>
      </c>
      <c r="H27" s="20" t="e">
        <f t="shared" si="10"/>
        <v>#REF!</v>
      </c>
      <c r="I27" s="18">
        <v>1206130</v>
      </c>
      <c r="J27" s="20">
        <f t="shared" si="11"/>
        <v>24122600</v>
      </c>
      <c r="K27" s="1"/>
    </row>
    <row r="28" spans="1:11" ht="16.5" customHeight="1" x14ac:dyDescent="0.2">
      <c r="A28" s="102"/>
      <c r="B28" s="16">
        <v>4.5</v>
      </c>
      <c r="C28" s="17" t="s">
        <v>53</v>
      </c>
      <c r="D28" s="17" t="s">
        <v>54</v>
      </c>
      <c r="E28" s="16">
        <v>1</v>
      </c>
      <c r="F28" s="16">
        <v>20</v>
      </c>
      <c r="G28" s="20" t="e">
        <f t="shared" si="9"/>
        <v>#REF!</v>
      </c>
      <c r="H28" s="20" t="e">
        <f t="shared" si="10"/>
        <v>#REF!</v>
      </c>
      <c r="I28" s="18">
        <v>144757220</v>
      </c>
      <c r="J28" s="20">
        <f t="shared" si="11"/>
        <v>2895144400</v>
      </c>
      <c r="K28" s="1"/>
    </row>
    <row r="29" spans="1:11" ht="16.5" customHeight="1" x14ac:dyDescent="0.2">
      <c r="A29" s="126" t="s">
        <v>55</v>
      </c>
      <c r="B29" s="100"/>
      <c r="C29" s="100"/>
      <c r="D29" s="100"/>
      <c r="E29" s="100"/>
      <c r="F29" s="101"/>
      <c r="G29" s="61"/>
      <c r="H29" s="61"/>
      <c r="I29" s="61">
        <v>0</v>
      </c>
      <c r="J29" s="61">
        <f>SUM(J24:J28)</f>
        <v>2984750546.6666665</v>
      </c>
      <c r="K29" s="1"/>
    </row>
    <row r="30" spans="1:11" ht="16.5" customHeight="1" x14ac:dyDescent="0.2">
      <c r="A30" s="125" t="s">
        <v>56</v>
      </c>
      <c r="B30" s="16">
        <v>5.0999999999999996</v>
      </c>
      <c r="C30" s="65" t="s">
        <v>93</v>
      </c>
      <c r="D30" s="17" t="s">
        <v>137</v>
      </c>
      <c r="E30" s="16">
        <v>120</v>
      </c>
      <c r="F30" s="16"/>
      <c r="G30" s="20" t="e">
        <f t="shared" ref="G30:G31" si="12">MIN(#REF!)</f>
        <v>#REF!</v>
      </c>
      <c r="H30" s="20" t="e">
        <f t="shared" ref="H30:H31" si="13">MAX(#REF!)</f>
        <v>#REF!</v>
      </c>
      <c r="I30" s="18">
        <v>475281.33333333331</v>
      </c>
      <c r="J30" s="20">
        <f t="shared" ref="J30:J31" si="14">E30*I30</f>
        <v>57033760</v>
      </c>
      <c r="K30" s="1"/>
    </row>
    <row r="31" spans="1:11" ht="16.5" customHeight="1" x14ac:dyDescent="0.2">
      <c r="A31" s="102"/>
      <c r="B31" s="16">
        <v>5.2</v>
      </c>
      <c r="C31" s="65" t="s">
        <v>132</v>
      </c>
      <c r="D31" s="17" t="s">
        <v>138</v>
      </c>
      <c r="E31" s="16">
        <v>120</v>
      </c>
      <c r="F31" s="16"/>
      <c r="G31" s="20" t="e">
        <f t="shared" si="12"/>
        <v>#REF!</v>
      </c>
      <c r="H31" s="20" t="e">
        <f t="shared" si="13"/>
        <v>#REF!</v>
      </c>
      <c r="I31" s="18">
        <v>105000</v>
      </c>
      <c r="J31" s="20">
        <f t="shared" si="14"/>
        <v>12600000</v>
      </c>
      <c r="K31" s="1"/>
    </row>
    <row r="32" spans="1:11" ht="16.5" customHeight="1" x14ac:dyDescent="0.2">
      <c r="A32" s="126" t="s">
        <v>60</v>
      </c>
      <c r="B32" s="100"/>
      <c r="C32" s="100"/>
      <c r="D32" s="100"/>
      <c r="E32" s="100"/>
      <c r="F32" s="101"/>
      <c r="G32" s="61"/>
      <c r="H32" s="61"/>
      <c r="I32" s="61">
        <v>0</v>
      </c>
      <c r="J32" s="61">
        <f>SUM(J30:J31)</f>
        <v>69633760</v>
      </c>
      <c r="K32" s="1"/>
    </row>
    <row r="33" spans="1:11" ht="51.75" customHeight="1" x14ac:dyDescent="0.2">
      <c r="A33" s="125" t="s">
        <v>96</v>
      </c>
      <c r="B33" s="16">
        <v>6.1</v>
      </c>
      <c r="C33" s="17" t="s">
        <v>97</v>
      </c>
      <c r="D33" s="17" t="s">
        <v>98</v>
      </c>
      <c r="E33" s="16">
        <v>4</v>
      </c>
      <c r="F33" s="16">
        <v>1.5</v>
      </c>
      <c r="G33" s="20" t="e">
        <f t="shared" ref="G33:G34" si="15">MIN(#REF!)</f>
        <v>#REF!</v>
      </c>
      <c r="H33" s="20" t="e">
        <f t="shared" ref="H33:H34" si="16">MAX(#REF!)</f>
        <v>#REF!</v>
      </c>
      <c r="I33" s="18">
        <v>475281.33333333331</v>
      </c>
      <c r="J33" s="20">
        <f t="shared" ref="J33:J34" si="17">E33*F33*I33</f>
        <v>2851688</v>
      </c>
      <c r="K33" s="1"/>
    </row>
    <row r="34" spans="1:11" ht="51.75" customHeight="1" x14ac:dyDescent="0.2">
      <c r="A34" s="102"/>
      <c r="B34" s="16">
        <v>6.2</v>
      </c>
      <c r="C34" s="17" t="s">
        <v>139</v>
      </c>
      <c r="D34" s="17" t="s">
        <v>100</v>
      </c>
      <c r="E34" s="16">
        <v>4</v>
      </c>
      <c r="F34" s="16">
        <v>1</v>
      </c>
      <c r="G34" s="20" t="e">
        <f t="shared" si="15"/>
        <v>#REF!</v>
      </c>
      <c r="H34" s="20" t="e">
        <f t="shared" si="16"/>
        <v>#REF!</v>
      </c>
      <c r="I34" s="18">
        <v>1100000</v>
      </c>
      <c r="J34" s="20">
        <f t="shared" si="17"/>
        <v>4400000</v>
      </c>
      <c r="K34" s="1"/>
    </row>
    <row r="35" spans="1:11" ht="16.5" customHeight="1" x14ac:dyDescent="0.2">
      <c r="A35" s="126" t="s">
        <v>65</v>
      </c>
      <c r="B35" s="100"/>
      <c r="C35" s="100"/>
      <c r="D35" s="100"/>
      <c r="E35" s="100"/>
      <c r="F35" s="101"/>
      <c r="G35" s="61"/>
      <c r="H35" s="61"/>
      <c r="I35" s="61">
        <v>0</v>
      </c>
      <c r="J35" s="61">
        <f>SUM(J33:J34)</f>
        <v>7251688</v>
      </c>
      <c r="K35" s="1"/>
    </row>
    <row r="36" spans="1:11" ht="16.5" customHeight="1" x14ac:dyDescent="0.2">
      <c r="A36" s="39"/>
      <c r="B36" s="39"/>
      <c r="C36" s="39"/>
      <c r="D36" s="39"/>
      <c r="E36" s="39"/>
      <c r="F36" s="39"/>
      <c r="G36" s="40"/>
      <c r="H36" s="40"/>
      <c r="I36" s="40">
        <v>0</v>
      </c>
      <c r="J36" s="40">
        <f>E36*F36*I36</f>
        <v>0</v>
      </c>
      <c r="K36" s="1"/>
    </row>
    <row r="37" spans="1:11" ht="16.5" customHeight="1" x14ac:dyDescent="0.2">
      <c r="A37" s="1"/>
      <c r="B37" s="103" t="s">
        <v>66</v>
      </c>
      <c r="C37" s="104"/>
      <c r="D37" s="104"/>
      <c r="E37" s="104"/>
      <c r="F37" s="105"/>
      <c r="G37" s="81"/>
      <c r="H37" s="81"/>
      <c r="I37" s="81">
        <v>0</v>
      </c>
      <c r="J37" s="41">
        <f>SUM(J35,J32,J29,J23,J15,J12)</f>
        <v>4985217381.333333</v>
      </c>
      <c r="K37" s="1"/>
    </row>
    <row r="38" spans="1:11" ht="16.5" customHeight="1" x14ac:dyDescent="0.2">
      <c r="A38" s="1"/>
      <c r="B38" s="43">
        <v>3</v>
      </c>
      <c r="C38" s="44" t="s">
        <v>67</v>
      </c>
      <c r="D38" s="45"/>
      <c r="E38" s="46" t="s">
        <v>68</v>
      </c>
      <c r="F38" s="46"/>
      <c r="G38" s="47"/>
      <c r="H38" s="47"/>
      <c r="I38" s="47">
        <v>0</v>
      </c>
      <c r="J38" s="47"/>
      <c r="K38" s="1"/>
    </row>
    <row r="39" spans="1:11" ht="16.5" customHeight="1" x14ac:dyDescent="0.2">
      <c r="A39" s="1"/>
      <c r="B39" s="49">
        <v>3.1</v>
      </c>
      <c r="C39" s="50" t="s">
        <v>69</v>
      </c>
      <c r="D39" s="17" t="s">
        <v>70</v>
      </c>
      <c r="E39" s="1"/>
      <c r="F39" s="16" t="s">
        <v>71</v>
      </c>
      <c r="G39" s="51" t="e">
        <f>MIN(#REF!)</f>
        <v>#REF!</v>
      </c>
      <c r="H39" s="51" t="e">
        <f>MAX(#REF!)</f>
        <v>#REF!</v>
      </c>
      <c r="I39" s="51">
        <v>0.15000000000000002</v>
      </c>
      <c r="J39" s="85">
        <f>J37*I39</f>
        <v>747782607.20000005</v>
      </c>
      <c r="K39" s="1"/>
    </row>
    <row r="40" spans="1:11" ht="38.25" customHeight="1" x14ac:dyDescent="0.2">
      <c r="A40" s="1"/>
      <c r="B40" s="131" t="s">
        <v>133</v>
      </c>
      <c r="C40" s="107"/>
      <c r="D40" s="107"/>
      <c r="E40" s="107"/>
      <c r="F40" s="108"/>
      <c r="G40" s="84"/>
      <c r="H40" s="84"/>
      <c r="I40" s="84">
        <v>0</v>
      </c>
      <c r="J40" s="84">
        <f>J37+J39</f>
        <v>5732999988.5333328</v>
      </c>
      <c r="K40" s="1"/>
    </row>
    <row r="41" spans="1:11" ht="16.5" customHeight="1" x14ac:dyDescent="0.2">
      <c r="A41" s="1"/>
      <c r="B41" s="1"/>
      <c r="C41" s="53" t="s">
        <v>140</v>
      </c>
      <c r="D41" s="1"/>
      <c r="E41" s="1"/>
      <c r="F41" s="1"/>
      <c r="G41" s="1"/>
      <c r="H41" s="1"/>
      <c r="I41" s="51">
        <v>0.02</v>
      </c>
      <c r="J41" s="85">
        <f>5850000000*2%</f>
        <v>117000000</v>
      </c>
      <c r="K41" s="1"/>
    </row>
    <row r="42" spans="1:11" ht="16.5" customHeight="1" x14ac:dyDescent="0.2">
      <c r="A42" s="1"/>
      <c r="B42" s="1"/>
      <c r="C42" s="53" t="s">
        <v>141</v>
      </c>
      <c r="D42" s="1"/>
      <c r="E42" s="1"/>
      <c r="F42" s="1"/>
      <c r="G42" s="1"/>
      <c r="H42" s="1"/>
      <c r="I42" s="1"/>
      <c r="J42" s="85">
        <f>J40+J41</f>
        <v>5849999988.5333328</v>
      </c>
      <c r="K42" s="1"/>
    </row>
    <row r="43" spans="1:11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86"/>
      <c r="K43" s="1"/>
    </row>
    <row r="44" spans="1:11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4"/>
      <c r="K45" s="1"/>
    </row>
    <row r="46" spans="1:11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autoFilter ref="A5:I5" xr:uid="{00000000-0009-0000-0000-000009000000}"/>
  <mergeCells count="17">
    <mergeCell ref="A29:F29"/>
    <mergeCell ref="A32:F32"/>
    <mergeCell ref="A35:F35"/>
    <mergeCell ref="B37:F37"/>
    <mergeCell ref="B40:F40"/>
    <mergeCell ref="B1:F1"/>
    <mergeCell ref="B2:C3"/>
    <mergeCell ref="D2:F3"/>
    <mergeCell ref="A6:A11"/>
    <mergeCell ref="A12:F12"/>
    <mergeCell ref="A15:F15"/>
    <mergeCell ref="A23:F23"/>
    <mergeCell ref="A13:A14"/>
    <mergeCell ref="A16:A22"/>
    <mergeCell ref="A30:A31"/>
    <mergeCell ref="A24:A28"/>
    <mergeCell ref="A33:A34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baseColWidth="10" defaultColWidth="12.6640625" defaultRowHeight="15" customHeight="1" x14ac:dyDescent="0.2"/>
  <cols>
    <col min="1" max="1" width="18.1640625" customWidth="1"/>
    <col min="2" max="2" width="11.1640625" customWidth="1"/>
    <col min="3" max="3" width="22.6640625" customWidth="1"/>
    <col min="4" max="4" width="41.83203125" customWidth="1"/>
    <col min="5" max="5" width="17" customWidth="1"/>
    <col min="6" max="6" width="8.1640625" customWidth="1"/>
    <col min="7" max="8" width="15.6640625" hidden="1" customWidth="1"/>
    <col min="9" max="10" width="15.6640625" customWidth="1"/>
    <col min="11" max="11" width="11.83203125" customWidth="1"/>
    <col min="12" max="12" width="13.33203125" customWidth="1"/>
  </cols>
  <sheetData>
    <row r="1" spans="1:12" ht="47.25" customHeight="1" x14ac:dyDescent="0.2">
      <c r="A1" s="1"/>
      <c r="B1" s="114" t="s">
        <v>0</v>
      </c>
      <c r="C1" s="115"/>
      <c r="D1" s="115"/>
      <c r="E1" s="115"/>
      <c r="F1" s="116"/>
      <c r="G1" s="1"/>
      <c r="H1" s="1"/>
      <c r="I1" s="1"/>
      <c r="J1" s="1"/>
      <c r="K1" s="1"/>
      <c r="L1" s="1"/>
    </row>
    <row r="2" spans="1:12" ht="16.5" customHeight="1" x14ac:dyDescent="0.2">
      <c r="A2" s="1"/>
      <c r="B2" s="117" t="s">
        <v>1</v>
      </c>
      <c r="C2" s="118"/>
      <c r="D2" s="121"/>
      <c r="E2" s="122"/>
      <c r="F2" s="128"/>
      <c r="G2" s="1"/>
      <c r="H2" s="1"/>
      <c r="I2" s="1"/>
      <c r="J2" s="1"/>
      <c r="K2" s="1"/>
      <c r="L2" s="1"/>
    </row>
    <row r="3" spans="1:12" ht="16.5" customHeight="1" x14ac:dyDescent="0.2">
      <c r="A3" s="1"/>
      <c r="B3" s="119"/>
      <c r="C3" s="120"/>
      <c r="D3" s="119"/>
      <c r="E3" s="123"/>
      <c r="F3" s="129"/>
      <c r="G3" s="1"/>
      <c r="H3" s="1"/>
      <c r="I3" s="1"/>
      <c r="J3" s="1"/>
      <c r="K3" s="1"/>
      <c r="L3" s="1"/>
    </row>
    <row r="4" spans="1:12" ht="50.25" customHeight="1" x14ac:dyDescent="0.2">
      <c r="A4" s="1"/>
      <c r="B4" s="2"/>
      <c r="C4" s="2"/>
      <c r="D4" s="3"/>
      <c r="E4" s="4"/>
      <c r="F4" s="4"/>
      <c r="G4" s="67"/>
      <c r="H4" s="67"/>
      <c r="I4" s="67"/>
      <c r="J4" s="67"/>
      <c r="K4" s="1"/>
      <c r="L4" s="1"/>
    </row>
    <row r="5" spans="1:12" ht="16.5" customHeight="1" x14ac:dyDescent="0.2">
      <c r="A5" s="57" t="s">
        <v>2</v>
      </c>
      <c r="B5" s="57" t="s">
        <v>3</v>
      </c>
      <c r="C5" s="58" t="s">
        <v>4</v>
      </c>
      <c r="D5" s="57" t="s">
        <v>5</v>
      </c>
      <c r="E5" s="57" t="s">
        <v>73</v>
      </c>
      <c r="F5" s="57" t="s">
        <v>7</v>
      </c>
      <c r="G5" s="69" t="s">
        <v>110</v>
      </c>
      <c r="H5" s="69" t="s">
        <v>111</v>
      </c>
      <c r="I5" s="69" t="s">
        <v>144</v>
      </c>
      <c r="J5" s="69" t="s">
        <v>136</v>
      </c>
      <c r="K5" s="1"/>
      <c r="L5" s="1"/>
    </row>
    <row r="6" spans="1:12" ht="16.5" customHeight="1" x14ac:dyDescent="0.2">
      <c r="A6" s="125" t="s">
        <v>10</v>
      </c>
      <c r="B6" s="16">
        <v>1.1000000000000001</v>
      </c>
      <c r="C6" s="17" t="s">
        <v>11</v>
      </c>
      <c r="D6" s="17" t="s">
        <v>12</v>
      </c>
      <c r="E6" s="16">
        <v>1</v>
      </c>
      <c r="F6" s="60">
        <v>7.5</v>
      </c>
      <c r="G6" s="20" t="e">
        <f t="shared" ref="G6:G11" si="0">MIN(#REF!)</f>
        <v>#REF!</v>
      </c>
      <c r="H6" s="20" t="e">
        <f t="shared" ref="H6:H11" si="1">MAX(#REF!)</f>
        <v>#REF!</v>
      </c>
      <c r="I6" s="18">
        <v>10295000</v>
      </c>
      <c r="J6" s="20">
        <f t="shared" ref="J6:J11" si="2">E6*F6*I6</f>
        <v>77212500</v>
      </c>
      <c r="K6" s="1"/>
      <c r="L6" s="1"/>
    </row>
    <row r="7" spans="1:12" ht="16.5" customHeight="1" x14ac:dyDescent="0.2">
      <c r="A7" s="127"/>
      <c r="B7" s="16">
        <v>1.2</v>
      </c>
      <c r="C7" s="17" t="s">
        <v>13</v>
      </c>
      <c r="D7" s="17" t="s">
        <v>14</v>
      </c>
      <c r="E7" s="16">
        <v>1</v>
      </c>
      <c r="F7" s="60">
        <v>7.5</v>
      </c>
      <c r="G7" s="20" t="e">
        <f t="shared" si="0"/>
        <v>#REF!</v>
      </c>
      <c r="H7" s="20" t="e">
        <f t="shared" si="1"/>
        <v>#REF!</v>
      </c>
      <c r="I7" s="18">
        <v>8295000</v>
      </c>
      <c r="J7" s="20">
        <f t="shared" si="2"/>
        <v>62212500</v>
      </c>
      <c r="K7" s="1"/>
      <c r="L7" s="1"/>
    </row>
    <row r="8" spans="1:12" ht="16.5" customHeight="1" x14ac:dyDescent="0.2">
      <c r="A8" s="127"/>
      <c r="B8" s="16">
        <v>1.3</v>
      </c>
      <c r="C8" s="17" t="s">
        <v>15</v>
      </c>
      <c r="D8" s="17" t="s">
        <v>148</v>
      </c>
      <c r="E8" s="16">
        <v>10</v>
      </c>
      <c r="F8" s="60">
        <v>7</v>
      </c>
      <c r="G8" s="20" t="e">
        <f t="shared" si="0"/>
        <v>#REF!</v>
      </c>
      <c r="H8" s="20" t="e">
        <f t="shared" si="1"/>
        <v>#REF!</v>
      </c>
      <c r="I8" s="18">
        <v>5459600</v>
      </c>
      <c r="J8" s="20">
        <f t="shared" si="2"/>
        <v>382172000</v>
      </c>
      <c r="K8" s="1"/>
      <c r="L8" s="1"/>
    </row>
    <row r="9" spans="1:12" ht="16.5" customHeight="1" x14ac:dyDescent="0.2">
      <c r="A9" s="127"/>
      <c r="B9" s="16">
        <v>1.4</v>
      </c>
      <c r="C9" s="17" t="s">
        <v>75</v>
      </c>
      <c r="D9" s="17" t="s">
        <v>149</v>
      </c>
      <c r="E9" s="16">
        <v>5</v>
      </c>
      <c r="F9" s="60">
        <v>7</v>
      </c>
      <c r="G9" s="20" t="e">
        <f t="shared" si="0"/>
        <v>#REF!</v>
      </c>
      <c r="H9" s="20" t="e">
        <f t="shared" si="1"/>
        <v>#REF!</v>
      </c>
      <c r="I9" s="18">
        <v>5459600</v>
      </c>
      <c r="J9" s="20">
        <f t="shared" si="2"/>
        <v>191086000</v>
      </c>
      <c r="K9" s="1"/>
      <c r="L9" s="1"/>
    </row>
    <row r="10" spans="1:12" ht="16.5" customHeight="1" x14ac:dyDescent="0.2">
      <c r="A10" s="127"/>
      <c r="B10" s="16">
        <v>1.5</v>
      </c>
      <c r="C10" s="17" t="s">
        <v>19</v>
      </c>
      <c r="D10" s="17" t="s">
        <v>76</v>
      </c>
      <c r="E10" s="16">
        <v>5</v>
      </c>
      <c r="F10" s="60">
        <v>7</v>
      </c>
      <c r="G10" s="20" t="e">
        <f t="shared" si="0"/>
        <v>#REF!</v>
      </c>
      <c r="H10" s="20" t="e">
        <f t="shared" si="1"/>
        <v>#REF!</v>
      </c>
      <c r="I10" s="18">
        <v>5459600</v>
      </c>
      <c r="J10" s="20">
        <f t="shared" si="2"/>
        <v>191086000</v>
      </c>
      <c r="K10" s="1"/>
      <c r="L10" s="1"/>
    </row>
    <row r="11" spans="1:12" ht="46.5" customHeight="1" x14ac:dyDescent="0.2">
      <c r="A11" s="102"/>
      <c r="B11" s="16">
        <v>1.6</v>
      </c>
      <c r="C11" s="17" t="s">
        <v>25</v>
      </c>
      <c r="D11" s="17" t="s">
        <v>77</v>
      </c>
      <c r="E11" s="16">
        <v>10</v>
      </c>
      <c r="F11" s="60">
        <v>7</v>
      </c>
      <c r="G11" s="20" t="e">
        <f t="shared" si="0"/>
        <v>#REF!</v>
      </c>
      <c r="H11" s="20" t="e">
        <f t="shared" si="1"/>
        <v>#REF!</v>
      </c>
      <c r="I11" s="18">
        <v>5459600</v>
      </c>
      <c r="J11" s="20">
        <f t="shared" si="2"/>
        <v>382172000</v>
      </c>
      <c r="K11" s="1"/>
      <c r="L11" s="1"/>
    </row>
    <row r="12" spans="1:12" ht="16.5" customHeight="1" x14ac:dyDescent="0.2">
      <c r="A12" s="126" t="s">
        <v>27</v>
      </c>
      <c r="B12" s="100"/>
      <c r="C12" s="100"/>
      <c r="D12" s="100"/>
      <c r="E12" s="100"/>
      <c r="F12" s="101"/>
      <c r="G12" s="61"/>
      <c r="H12" s="61"/>
      <c r="I12" s="61">
        <v>0</v>
      </c>
      <c r="J12" s="61">
        <f>SUM(J6:J11)</f>
        <v>1285941000</v>
      </c>
      <c r="K12" s="1"/>
      <c r="L12" s="1"/>
    </row>
    <row r="13" spans="1:12" ht="16.5" customHeight="1" x14ac:dyDescent="0.2">
      <c r="A13" s="125" t="s">
        <v>28</v>
      </c>
      <c r="B13" s="16" t="s">
        <v>29</v>
      </c>
      <c r="C13" s="17" t="s">
        <v>78</v>
      </c>
      <c r="D13" s="27" t="s">
        <v>79</v>
      </c>
      <c r="E13" s="16">
        <v>5</v>
      </c>
      <c r="F13" s="16">
        <v>20</v>
      </c>
      <c r="G13" s="20" t="e">
        <f t="shared" ref="G13:G14" si="3">MIN(#REF!)</f>
        <v>#REF!</v>
      </c>
      <c r="H13" s="20" t="e">
        <f t="shared" ref="H13:H14" si="4">MAX(#REF!)</f>
        <v>#REF!</v>
      </c>
      <c r="I13" s="18">
        <v>2700000</v>
      </c>
      <c r="J13" s="20">
        <f>E13*F13*I13</f>
        <v>270000000</v>
      </c>
      <c r="K13" s="1"/>
      <c r="L13" s="1"/>
    </row>
    <row r="14" spans="1:12" ht="16.5" customHeight="1" x14ac:dyDescent="0.2">
      <c r="A14" s="102"/>
      <c r="B14" s="16" t="s">
        <v>32</v>
      </c>
      <c r="C14" s="17" t="s">
        <v>80</v>
      </c>
      <c r="D14" s="27" t="s">
        <v>81</v>
      </c>
      <c r="E14" s="16">
        <v>100</v>
      </c>
      <c r="F14" s="16"/>
      <c r="G14" s="20" t="e">
        <f t="shared" si="3"/>
        <v>#REF!</v>
      </c>
      <c r="H14" s="20" t="e">
        <f t="shared" si="4"/>
        <v>#REF!</v>
      </c>
      <c r="I14" s="18">
        <v>105000</v>
      </c>
      <c r="J14" s="20">
        <f>E14*I14</f>
        <v>10500000</v>
      </c>
      <c r="K14" s="1"/>
      <c r="L14" s="1">
        <f>40*20</f>
        <v>800</v>
      </c>
    </row>
    <row r="15" spans="1:12" ht="16.5" customHeight="1" x14ac:dyDescent="0.2">
      <c r="A15" s="126" t="s">
        <v>41</v>
      </c>
      <c r="B15" s="100"/>
      <c r="C15" s="100"/>
      <c r="D15" s="100"/>
      <c r="E15" s="100"/>
      <c r="F15" s="101"/>
      <c r="G15" s="61"/>
      <c r="H15" s="61"/>
      <c r="I15" s="61">
        <v>0</v>
      </c>
      <c r="J15" s="61">
        <f>SUM(J13:J14)</f>
        <v>280500000</v>
      </c>
      <c r="K15" s="1"/>
      <c r="L15" s="1"/>
    </row>
    <row r="16" spans="1:12" ht="63" customHeight="1" x14ac:dyDescent="0.2">
      <c r="A16" s="125" t="s">
        <v>42</v>
      </c>
      <c r="B16" s="16">
        <v>3.1</v>
      </c>
      <c r="C16" s="29" t="s">
        <v>82</v>
      </c>
      <c r="D16" s="29" t="s">
        <v>83</v>
      </c>
      <c r="E16" s="16">
        <v>12</v>
      </c>
      <c r="F16" s="16">
        <v>3</v>
      </c>
      <c r="G16" s="20" t="e">
        <f t="shared" ref="G16:G22" si="5">MIN(#REF!)</f>
        <v>#REF!</v>
      </c>
      <c r="H16" s="20" t="e">
        <f t="shared" ref="H16:H22" si="6">MAX(#REF!)</f>
        <v>#REF!</v>
      </c>
      <c r="I16" s="18">
        <v>899130</v>
      </c>
      <c r="J16" s="20">
        <f t="shared" ref="J16:J17" si="7">E16*F16*I16</f>
        <v>32368680</v>
      </c>
      <c r="K16" s="1"/>
      <c r="L16" s="1"/>
    </row>
    <row r="17" spans="1:12" ht="181.5" customHeight="1" x14ac:dyDescent="0.2">
      <c r="A17" s="127"/>
      <c r="B17" s="16">
        <v>3.2</v>
      </c>
      <c r="C17" s="17" t="s">
        <v>45</v>
      </c>
      <c r="D17" s="29" t="s">
        <v>118</v>
      </c>
      <c r="E17" s="16">
        <v>100</v>
      </c>
      <c r="F17" s="16">
        <v>60</v>
      </c>
      <c r="G17" s="20" t="e">
        <f t="shared" si="5"/>
        <v>#REF!</v>
      </c>
      <c r="H17" s="20" t="e">
        <f t="shared" si="6"/>
        <v>#REF!</v>
      </c>
      <c r="I17" s="18">
        <v>9720</v>
      </c>
      <c r="J17" s="20">
        <f t="shared" si="7"/>
        <v>58320000</v>
      </c>
      <c r="K17" s="1"/>
      <c r="L17" s="1"/>
    </row>
    <row r="18" spans="1:12" ht="96.75" customHeight="1" x14ac:dyDescent="0.2">
      <c r="A18" s="127"/>
      <c r="B18" s="16">
        <v>3.3</v>
      </c>
      <c r="C18" s="17" t="s">
        <v>84</v>
      </c>
      <c r="D18" s="29" t="s">
        <v>85</v>
      </c>
      <c r="E18" s="16">
        <v>80</v>
      </c>
      <c r="F18" s="16"/>
      <c r="G18" s="20" t="e">
        <f t="shared" si="5"/>
        <v>#REF!</v>
      </c>
      <c r="H18" s="20" t="e">
        <f t="shared" si="6"/>
        <v>#REF!</v>
      </c>
      <c r="I18" s="18">
        <v>153333.33333333334</v>
      </c>
      <c r="J18" s="20">
        <f>E18*I18</f>
        <v>12266666.666666668</v>
      </c>
      <c r="K18" s="1"/>
      <c r="L18" s="1"/>
    </row>
    <row r="19" spans="1:12" ht="99.75" customHeight="1" x14ac:dyDescent="0.2">
      <c r="A19" s="127"/>
      <c r="B19" s="16">
        <v>3.4</v>
      </c>
      <c r="C19" s="17" t="s">
        <v>86</v>
      </c>
      <c r="D19" s="29" t="s">
        <v>121</v>
      </c>
      <c r="E19" s="16">
        <v>24</v>
      </c>
      <c r="F19" s="16">
        <v>20</v>
      </c>
      <c r="G19" s="20" t="e">
        <f t="shared" si="5"/>
        <v>#REF!</v>
      </c>
      <c r="H19" s="20" t="e">
        <f t="shared" si="6"/>
        <v>#REF!</v>
      </c>
      <c r="I19" s="18">
        <v>475281.33333333331</v>
      </c>
      <c r="J19" s="20">
        <f t="shared" ref="J19:J20" si="8">E19*F19*I19</f>
        <v>228135040</v>
      </c>
      <c r="K19" s="1"/>
      <c r="L19" s="1"/>
    </row>
    <row r="20" spans="1:12" ht="99.75" customHeight="1" x14ac:dyDescent="0.2">
      <c r="A20" s="127"/>
      <c r="B20" s="16">
        <v>3.5</v>
      </c>
      <c r="C20" s="17" t="s">
        <v>87</v>
      </c>
      <c r="D20" s="29" t="s">
        <v>122</v>
      </c>
      <c r="E20" s="16">
        <v>60</v>
      </c>
      <c r="F20" s="16">
        <v>2</v>
      </c>
      <c r="G20" s="20" t="e">
        <f t="shared" si="5"/>
        <v>#REF!</v>
      </c>
      <c r="H20" s="20" t="e">
        <f t="shared" si="6"/>
        <v>#REF!</v>
      </c>
      <c r="I20" s="18">
        <v>105000</v>
      </c>
      <c r="J20" s="20">
        <f t="shared" si="8"/>
        <v>12600000</v>
      </c>
      <c r="K20" s="1"/>
      <c r="L20" s="1"/>
    </row>
    <row r="21" spans="1:12" ht="99.75" customHeight="1" x14ac:dyDescent="0.2">
      <c r="A21" s="127"/>
      <c r="B21" s="16">
        <v>3.6</v>
      </c>
      <c r="C21" s="17" t="s">
        <v>74</v>
      </c>
      <c r="D21" s="29" t="s">
        <v>88</v>
      </c>
      <c r="E21" s="16">
        <v>1400</v>
      </c>
      <c r="F21" s="63"/>
      <c r="G21" s="20" t="e">
        <f t="shared" si="5"/>
        <v>#REF!</v>
      </c>
      <c r="H21" s="20" t="e">
        <f t="shared" si="6"/>
        <v>#REF!</v>
      </c>
      <c r="I21" s="18">
        <v>7500</v>
      </c>
      <c r="J21" s="20">
        <f>E21*I21</f>
        <v>10500000</v>
      </c>
      <c r="K21" s="1"/>
      <c r="L21" s="1"/>
    </row>
    <row r="22" spans="1:12" ht="183.75" customHeight="1" x14ac:dyDescent="0.2">
      <c r="A22" s="102"/>
      <c r="B22" s="16">
        <v>3.7</v>
      </c>
      <c r="C22" s="17" t="s">
        <v>89</v>
      </c>
      <c r="D22" s="29" t="s">
        <v>90</v>
      </c>
      <c r="E22" s="16">
        <v>1</v>
      </c>
      <c r="F22" s="16">
        <v>20</v>
      </c>
      <c r="G22" s="20" t="e">
        <f t="shared" si="5"/>
        <v>#REF!</v>
      </c>
      <c r="H22" s="20" t="e">
        <f t="shared" si="6"/>
        <v>#REF!</v>
      </c>
      <c r="I22" s="18">
        <v>147500</v>
      </c>
      <c r="J22" s="20">
        <f>E22*F22*I22</f>
        <v>2950000</v>
      </c>
      <c r="K22" s="1"/>
      <c r="L22" s="1"/>
    </row>
    <row r="23" spans="1:12" ht="16.5" customHeight="1" x14ac:dyDescent="0.2">
      <c r="A23" s="126" t="s">
        <v>47</v>
      </c>
      <c r="B23" s="100"/>
      <c r="C23" s="100"/>
      <c r="D23" s="100"/>
      <c r="E23" s="100"/>
      <c r="F23" s="101"/>
      <c r="G23" s="61"/>
      <c r="H23" s="61"/>
      <c r="I23" s="61">
        <v>0</v>
      </c>
      <c r="J23" s="61">
        <f>SUM(J16:J22)</f>
        <v>357140386.66666669</v>
      </c>
      <c r="K23" s="1"/>
      <c r="L23" s="1"/>
    </row>
    <row r="24" spans="1:12" ht="16.5" customHeight="1" x14ac:dyDescent="0.2">
      <c r="A24" s="125" t="s">
        <v>48</v>
      </c>
      <c r="B24" s="16">
        <v>4.0999999999999996</v>
      </c>
      <c r="C24" s="17" t="s">
        <v>50</v>
      </c>
      <c r="D24" s="17" t="s">
        <v>150</v>
      </c>
      <c r="E24" s="16">
        <v>10</v>
      </c>
      <c r="F24" s="16">
        <v>20</v>
      </c>
      <c r="G24" s="20" t="e">
        <f t="shared" ref="G24:G28" si="9">MIN(#REF!)</f>
        <v>#REF!</v>
      </c>
      <c r="H24" s="20" t="e">
        <f t="shared" ref="H24:H28" si="10">MAX(#REF!)</f>
        <v>#REF!</v>
      </c>
      <c r="I24" s="18">
        <v>153333.33333333334</v>
      </c>
      <c r="J24" s="20">
        <f t="shared" ref="J24:J28" si="11">E24*F24*I24</f>
        <v>30666666.666666668</v>
      </c>
      <c r="K24" s="1"/>
      <c r="L24" s="1"/>
    </row>
    <row r="25" spans="1:12" ht="36" customHeight="1" x14ac:dyDescent="0.2">
      <c r="A25" s="127"/>
      <c r="B25" s="16">
        <v>4.2</v>
      </c>
      <c r="C25" s="17" t="s">
        <v>91</v>
      </c>
      <c r="D25" s="17" t="s">
        <v>125</v>
      </c>
      <c r="E25" s="16">
        <v>60</v>
      </c>
      <c r="F25" s="16">
        <v>1</v>
      </c>
      <c r="G25" s="20" t="e">
        <f t="shared" si="9"/>
        <v>#REF!</v>
      </c>
      <c r="H25" s="20" t="e">
        <f t="shared" si="10"/>
        <v>#REF!</v>
      </c>
      <c r="I25" s="18">
        <v>475281.33333333331</v>
      </c>
      <c r="J25" s="20">
        <f t="shared" si="11"/>
        <v>28516880</v>
      </c>
      <c r="K25" s="1"/>
      <c r="L25" s="1"/>
    </row>
    <row r="26" spans="1:12" ht="16.5" customHeight="1" x14ac:dyDescent="0.2">
      <c r="A26" s="127"/>
      <c r="B26" s="16">
        <v>4.3</v>
      </c>
      <c r="C26" s="17" t="s">
        <v>127</v>
      </c>
      <c r="D26" s="17" t="s">
        <v>128</v>
      </c>
      <c r="E26" s="16">
        <v>60</v>
      </c>
      <c r="F26" s="64">
        <v>1</v>
      </c>
      <c r="G26" s="20" t="e">
        <f t="shared" si="9"/>
        <v>#REF!</v>
      </c>
      <c r="H26" s="20" t="e">
        <f t="shared" si="10"/>
        <v>#REF!</v>
      </c>
      <c r="I26" s="18">
        <v>105000</v>
      </c>
      <c r="J26" s="20">
        <f t="shared" si="11"/>
        <v>6300000</v>
      </c>
      <c r="K26" s="1"/>
      <c r="L26" s="1"/>
    </row>
    <row r="27" spans="1:12" ht="16.5" customHeight="1" x14ac:dyDescent="0.2">
      <c r="A27" s="127"/>
      <c r="B27" s="16">
        <v>4.4000000000000004</v>
      </c>
      <c r="C27" s="17" t="s">
        <v>92</v>
      </c>
      <c r="D27" s="17" t="s">
        <v>130</v>
      </c>
      <c r="E27" s="16">
        <v>1</v>
      </c>
      <c r="F27" s="16">
        <v>20</v>
      </c>
      <c r="G27" s="20" t="e">
        <f t="shared" si="9"/>
        <v>#REF!</v>
      </c>
      <c r="H27" s="20" t="e">
        <f t="shared" si="10"/>
        <v>#REF!</v>
      </c>
      <c r="I27" s="18">
        <v>1206130</v>
      </c>
      <c r="J27" s="20">
        <f t="shared" si="11"/>
        <v>24122600</v>
      </c>
      <c r="K27" s="1"/>
      <c r="L27" s="1"/>
    </row>
    <row r="28" spans="1:12" ht="16.5" customHeight="1" x14ac:dyDescent="0.2">
      <c r="A28" s="102"/>
      <c r="B28" s="16">
        <v>4.5</v>
      </c>
      <c r="C28" s="17" t="s">
        <v>53</v>
      </c>
      <c r="D28" s="17" t="s">
        <v>54</v>
      </c>
      <c r="E28" s="16">
        <v>1</v>
      </c>
      <c r="F28" s="16">
        <v>20</v>
      </c>
      <c r="G28" s="20" t="e">
        <f t="shared" si="9"/>
        <v>#REF!</v>
      </c>
      <c r="H28" s="20" t="e">
        <f t="shared" si="10"/>
        <v>#REF!</v>
      </c>
      <c r="I28" s="18">
        <v>50000000</v>
      </c>
      <c r="J28" s="20">
        <f t="shared" si="11"/>
        <v>1000000000</v>
      </c>
      <c r="K28" s="1"/>
      <c r="L28" s="1"/>
    </row>
    <row r="29" spans="1:12" ht="16.5" customHeight="1" x14ac:dyDescent="0.2">
      <c r="A29" s="126" t="s">
        <v>55</v>
      </c>
      <c r="B29" s="100"/>
      <c r="C29" s="100"/>
      <c r="D29" s="100"/>
      <c r="E29" s="100"/>
      <c r="F29" s="101"/>
      <c r="G29" s="61"/>
      <c r="H29" s="61"/>
      <c r="I29" s="61">
        <v>0</v>
      </c>
      <c r="J29" s="61">
        <f>SUM(J24:J28)</f>
        <v>1089606146.6666667</v>
      </c>
      <c r="K29" s="1"/>
      <c r="L29" s="1"/>
    </row>
    <row r="30" spans="1:12" ht="16.5" customHeight="1" x14ac:dyDescent="0.2">
      <c r="A30" s="125" t="s">
        <v>56</v>
      </c>
      <c r="B30" s="16">
        <v>5.0999999999999996</v>
      </c>
      <c r="C30" s="65" t="s">
        <v>93</v>
      </c>
      <c r="D30" s="17" t="s">
        <v>137</v>
      </c>
      <c r="E30" s="16">
        <v>120</v>
      </c>
      <c r="F30" s="16"/>
      <c r="G30" s="20" t="e">
        <f t="shared" ref="G30:G31" si="12">MIN(#REF!)</f>
        <v>#REF!</v>
      </c>
      <c r="H30" s="20" t="e">
        <f t="shared" ref="H30:H31" si="13">MAX(#REF!)</f>
        <v>#REF!</v>
      </c>
      <c r="I30" s="18">
        <v>475281.33333333331</v>
      </c>
      <c r="J30" s="20">
        <f t="shared" ref="J30:J31" si="14">E30*I30</f>
        <v>57033760</v>
      </c>
      <c r="K30" s="1"/>
      <c r="L30" s="1"/>
    </row>
    <row r="31" spans="1:12" ht="16.5" customHeight="1" x14ac:dyDescent="0.2">
      <c r="A31" s="102"/>
      <c r="B31" s="16">
        <v>5.2</v>
      </c>
      <c r="C31" s="65" t="s">
        <v>132</v>
      </c>
      <c r="D31" s="17" t="s">
        <v>138</v>
      </c>
      <c r="E31" s="16">
        <v>120</v>
      </c>
      <c r="F31" s="16"/>
      <c r="G31" s="20" t="e">
        <f t="shared" si="12"/>
        <v>#REF!</v>
      </c>
      <c r="H31" s="20" t="e">
        <f t="shared" si="13"/>
        <v>#REF!</v>
      </c>
      <c r="I31" s="18">
        <v>105000</v>
      </c>
      <c r="J31" s="20">
        <f t="shared" si="14"/>
        <v>12600000</v>
      </c>
      <c r="K31" s="1"/>
      <c r="L31" s="1"/>
    </row>
    <row r="32" spans="1:12" ht="16.5" customHeight="1" x14ac:dyDescent="0.2">
      <c r="A32" s="126" t="s">
        <v>60</v>
      </c>
      <c r="B32" s="100"/>
      <c r="C32" s="100"/>
      <c r="D32" s="100"/>
      <c r="E32" s="100"/>
      <c r="F32" s="101"/>
      <c r="G32" s="61"/>
      <c r="H32" s="61"/>
      <c r="I32" s="61">
        <v>0</v>
      </c>
      <c r="J32" s="61">
        <f>SUM(J30:J31)</f>
        <v>69633760</v>
      </c>
      <c r="K32" s="1"/>
      <c r="L32" s="1"/>
    </row>
    <row r="33" spans="1:12" ht="51.75" customHeight="1" x14ac:dyDescent="0.2">
      <c r="A33" s="125" t="s">
        <v>96</v>
      </c>
      <c r="B33" s="16">
        <v>6.1</v>
      </c>
      <c r="C33" s="17" t="s">
        <v>97</v>
      </c>
      <c r="D33" s="17" t="s">
        <v>98</v>
      </c>
      <c r="E33" s="16">
        <v>4</v>
      </c>
      <c r="F33" s="16">
        <v>1.5</v>
      </c>
      <c r="G33" s="20" t="e">
        <f t="shared" ref="G33:G34" si="15">MIN(#REF!)</f>
        <v>#REF!</v>
      </c>
      <c r="H33" s="20" t="e">
        <f t="shared" ref="H33:H34" si="16">MAX(#REF!)</f>
        <v>#REF!</v>
      </c>
      <c r="I33" s="18">
        <v>475281.33333333331</v>
      </c>
      <c r="J33" s="20">
        <f t="shared" ref="J33:J34" si="17">E33*F33*I33</f>
        <v>2851688</v>
      </c>
      <c r="K33" s="1"/>
      <c r="L33" s="1"/>
    </row>
    <row r="34" spans="1:12" ht="51.75" customHeight="1" x14ac:dyDescent="0.2">
      <c r="A34" s="102"/>
      <c r="B34" s="16">
        <v>6.2</v>
      </c>
      <c r="C34" s="17" t="s">
        <v>139</v>
      </c>
      <c r="D34" s="17" t="s">
        <v>100</v>
      </c>
      <c r="E34" s="16">
        <v>4</v>
      </c>
      <c r="F34" s="16">
        <v>1</v>
      </c>
      <c r="G34" s="20" t="e">
        <f t="shared" si="15"/>
        <v>#REF!</v>
      </c>
      <c r="H34" s="20" t="e">
        <f t="shared" si="16"/>
        <v>#REF!</v>
      </c>
      <c r="I34" s="18">
        <v>1100000</v>
      </c>
      <c r="J34" s="20">
        <f t="shared" si="17"/>
        <v>4400000</v>
      </c>
      <c r="K34" s="1"/>
      <c r="L34" s="1"/>
    </row>
    <row r="35" spans="1:12" ht="16.5" customHeight="1" x14ac:dyDescent="0.2">
      <c r="A35" s="126" t="s">
        <v>65</v>
      </c>
      <c r="B35" s="100"/>
      <c r="C35" s="100"/>
      <c r="D35" s="100"/>
      <c r="E35" s="100"/>
      <c r="F35" s="101"/>
      <c r="G35" s="61"/>
      <c r="H35" s="61"/>
      <c r="I35" s="61">
        <v>0</v>
      </c>
      <c r="J35" s="61">
        <f>SUM(J33:J34)</f>
        <v>7251688</v>
      </c>
      <c r="K35" s="1"/>
      <c r="L35" s="1"/>
    </row>
    <row r="36" spans="1:12" ht="16.5" customHeight="1" x14ac:dyDescent="0.2">
      <c r="A36" s="39"/>
      <c r="B36" s="39"/>
      <c r="C36" s="39"/>
      <c r="D36" s="39"/>
      <c r="E36" s="39"/>
      <c r="F36" s="39"/>
      <c r="G36" s="40"/>
      <c r="H36" s="40"/>
      <c r="I36" s="40">
        <v>0</v>
      </c>
      <c r="J36" s="40">
        <f>E36*F36*I36</f>
        <v>0</v>
      </c>
      <c r="K36" s="1"/>
      <c r="L36" s="1"/>
    </row>
    <row r="37" spans="1:12" ht="16.5" customHeight="1" x14ac:dyDescent="0.2">
      <c r="A37" s="1"/>
      <c r="B37" s="103" t="s">
        <v>66</v>
      </c>
      <c r="C37" s="104"/>
      <c r="D37" s="104"/>
      <c r="E37" s="104"/>
      <c r="F37" s="105"/>
      <c r="G37" s="81"/>
      <c r="H37" s="81"/>
      <c r="I37" s="81">
        <v>0</v>
      </c>
      <c r="J37" s="41">
        <f>SUM(J35,J32,J29,J23,J15,J12)</f>
        <v>3090072981.3333335</v>
      </c>
      <c r="K37" s="1"/>
      <c r="L37" s="1"/>
    </row>
    <row r="38" spans="1:12" ht="16.5" customHeight="1" x14ac:dyDescent="0.2">
      <c r="A38" s="1"/>
      <c r="B38" s="43">
        <v>3</v>
      </c>
      <c r="C38" s="44" t="s">
        <v>67</v>
      </c>
      <c r="D38" s="45"/>
      <c r="E38" s="46" t="s">
        <v>68</v>
      </c>
      <c r="F38" s="46"/>
      <c r="G38" s="47"/>
      <c r="H38" s="47"/>
      <c r="I38" s="47">
        <v>0</v>
      </c>
      <c r="J38" s="47"/>
      <c r="K38" s="1"/>
      <c r="L38" s="1"/>
    </row>
    <row r="39" spans="1:12" ht="16.5" customHeight="1" x14ac:dyDescent="0.2">
      <c r="A39" s="1"/>
      <c r="B39" s="49">
        <v>3.1</v>
      </c>
      <c r="C39" s="50" t="s">
        <v>69</v>
      </c>
      <c r="D39" s="17" t="s">
        <v>70</v>
      </c>
      <c r="E39" s="1"/>
      <c r="F39" s="16" t="s">
        <v>71</v>
      </c>
      <c r="G39" s="51" t="e">
        <f>MIN(#REF!)</f>
        <v>#REF!</v>
      </c>
      <c r="H39" s="51" t="e">
        <f>MAX(#REF!)</f>
        <v>#REF!</v>
      </c>
      <c r="I39" s="51">
        <v>0.15000000000000002</v>
      </c>
      <c r="J39" s="85">
        <f>J37*I39</f>
        <v>463510947.20000011</v>
      </c>
      <c r="K39" s="1"/>
      <c r="L39" s="1"/>
    </row>
    <row r="40" spans="1:12" ht="38.25" customHeight="1" x14ac:dyDescent="0.2">
      <c r="A40" s="1"/>
      <c r="B40" s="131" t="s">
        <v>133</v>
      </c>
      <c r="C40" s="107"/>
      <c r="D40" s="107"/>
      <c r="E40" s="107"/>
      <c r="F40" s="108"/>
      <c r="G40" s="84"/>
      <c r="H40" s="84"/>
      <c r="I40" s="84">
        <v>0</v>
      </c>
      <c r="J40" s="84">
        <f>J37+J39</f>
        <v>3553583928.5333338</v>
      </c>
      <c r="K40" s="1"/>
      <c r="L40" s="1"/>
    </row>
    <row r="41" spans="1:12" ht="16.5" customHeight="1" x14ac:dyDescent="0.2">
      <c r="A41" s="1"/>
      <c r="B41" s="1"/>
      <c r="C41" s="53" t="s">
        <v>140</v>
      </c>
      <c r="D41" s="1"/>
      <c r="E41" s="1"/>
      <c r="F41" s="1"/>
      <c r="G41" s="1"/>
      <c r="H41" s="1"/>
      <c r="I41" s="51">
        <v>0.02</v>
      </c>
      <c r="J41" s="85">
        <f>5850000000*2%</f>
        <v>117000000</v>
      </c>
      <c r="K41" s="1"/>
      <c r="L41" s="1"/>
    </row>
    <row r="42" spans="1:12" ht="16.5" customHeight="1" x14ac:dyDescent="0.2">
      <c r="A42" s="1"/>
      <c r="B42" s="1"/>
      <c r="C42" s="53" t="s">
        <v>141</v>
      </c>
      <c r="D42" s="1"/>
      <c r="E42" s="1"/>
      <c r="F42" s="1"/>
      <c r="G42" s="1"/>
      <c r="H42" s="1"/>
      <c r="I42" s="1"/>
      <c r="J42" s="85">
        <f>J40+J41</f>
        <v>3670583928.5333338</v>
      </c>
      <c r="K42" s="1"/>
      <c r="L42" s="1"/>
    </row>
    <row r="43" spans="1:12" ht="16.5" customHeight="1" x14ac:dyDescent="0.2">
      <c r="A43" s="1"/>
      <c r="B43" s="1"/>
      <c r="C43" s="53" t="s">
        <v>142</v>
      </c>
      <c r="D43" s="1"/>
      <c r="E43" s="1"/>
      <c r="F43" s="1"/>
      <c r="G43" s="1"/>
      <c r="H43" s="1"/>
      <c r="I43" s="1"/>
      <c r="J43" s="86">
        <v>5850000000</v>
      </c>
      <c r="K43" s="86">
        <f>J43*2%</f>
        <v>117000000</v>
      </c>
      <c r="L43" s="86">
        <f>J43-K43</f>
        <v>5733000000</v>
      </c>
    </row>
    <row r="44" spans="1:12" ht="16.5" customHeight="1" x14ac:dyDescent="0.2">
      <c r="A44" s="1"/>
      <c r="B44" s="1"/>
      <c r="C44" s="53" t="s">
        <v>143</v>
      </c>
      <c r="D44" s="1"/>
      <c r="E44" s="1"/>
      <c r="F44" s="1"/>
      <c r="G44" s="1"/>
      <c r="H44" s="1"/>
      <c r="I44" s="1"/>
      <c r="J44" s="86">
        <f>L43-J40</f>
        <v>2179416071.4666662</v>
      </c>
      <c r="K44" s="1"/>
      <c r="L44" s="1"/>
    </row>
    <row r="45" spans="1:12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4"/>
      <c r="K45" s="1"/>
      <c r="L45" s="1"/>
    </row>
    <row r="46" spans="1:12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autoFilter ref="A5:I5" xr:uid="{00000000-0009-0000-0000-00000A000000}"/>
  <mergeCells count="17">
    <mergeCell ref="A29:F29"/>
    <mergeCell ref="A32:F32"/>
    <mergeCell ref="A35:F35"/>
    <mergeCell ref="B37:F37"/>
    <mergeCell ref="B40:F40"/>
    <mergeCell ref="B1:F1"/>
    <mergeCell ref="B2:C3"/>
    <mergeCell ref="D2:F3"/>
    <mergeCell ref="A6:A11"/>
    <mergeCell ref="A12:F12"/>
    <mergeCell ref="A15:F15"/>
    <mergeCell ref="A23:F23"/>
    <mergeCell ref="A13:A14"/>
    <mergeCell ref="A16:A22"/>
    <mergeCell ref="A30:A31"/>
    <mergeCell ref="A24:A28"/>
    <mergeCell ref="A33:A34"/>
  </mergeCells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79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17" sqref="C17"/>
    </sheetView>
  </sheetViews>
  <sheetFormatPr baseColWidth="10" defaultColWidth="12.6640625" defaultRowHeight="15" customHeight="1" x14ac:dyDescent="0.2"/>
  <cols>
    <col min="1" max="1" width="18.1640625" customWidth="1"/>
    <col min="2" max="2" width="11.1640625" customWidth="1"/>
    <col min="3" max="3" width="28.1640625" customWidth="1"/>
    <col min="4" max="4" width="57.1640625" customWidth="1"/>
    <col min="5" max="6" width="14" customWidth="1"/>
    <col min="7" max="7" width="23" customWidth="1"/>
    <col min="8" max="8" width="23.1640625" customWidth="1"/>
    <col min="9" max="9" width="17.5" customWidth="1"/>
    <col min="10" max="10" width="16.83203125" customWidth="1"/>
    <col min="11" max="11" width="14.83203125" customWidth="1"/>
    <col min="12" max="13" width="10" customWidth="1"/>
    <col min="14" max="14" width="11.1640625" customWidth="1"/>
  </cols>
  <sheetData>
    <row r="1" spans="1:14" ht="47.25" customHeight="1" x14ac:dyDescent="0.2">
      <c r="A1" s="1"/>
      <c r="B1" s="132" t="s">
        <v>0</v>
      </c>
      <c r="C1" s="100"/>
      <c r="D1" s="100"/>
      <c r="E1" s="100"/>
      <c r="F1" s="100"/>
      <c r="G1" s="100"/>
      <c r="H1" s="101"/>
      <c r="I1" s="1"/>
      <c r="J1" s="1"/>
      <c r="K1" s="1"/>
      <c r="L1" s="1"/>
      <c r="M1" s="1"/>
      <c r="N1" s="1"/>
    </row>
    <row r="2" spans="1:14" ht="16.5" customHeight="1" x14ac:dyDescent="0.2">
      <c r="A2" s="1"/>
      <c r="B2" s="117" t="s">
        <v>1</v>
      </c>
      <c r="C2" s="118"/>
      <c r="D2" s="121"/>
      <c r="E2" s="122"/>
      <c r="F2" s="122"/>
      <c r="G2" s="122"/>
      <c r="H2" s="118"/>
      <c r="I2" s="1"/>
      <c r="J2" s="1"/>
      <c r="K2" s="1"/>
      <c r="L2" s="1"/>
      <c r="M2" s="1"/>
      <c r="N2" s="1"/>
    </row>
    <row r="3" spans="1:14" ht="16.5" customHeight="1" x14ac:dyDescent="0.2">
      <c r="A3" s="1"/>
      <c r="B3" s="119"/>
      <c r="C3" s="120"/>
      <c r="D3" s="119"/>
      <c r="E3" s="123"/>
      <c r="F3" s="123"/>
      <c r="G3" s="123"/>
      <c r="H3" s="120"/>
      <c r="I3" s="1"/>
      <c r="J3" s="1"/>
      <c r="K3" s="1"/>
      <c r="L3" s="1"/>
      <c r="M3" s="1"/>
      <c r="N3" s="1"/>
    </row>
    <row r="4" spans="1:14" ht="50.25" customHeight="1" x14ac:dyDescent="0.2">
      <c r="A4" s="1"/>
      <c r="B4" s="2"/>
      <c r="C4" s="2"/>
      <c r="D4" s="3"/>
      <c r="E4" s="4"/>
      <c r="F4" s="4"/>
      <c r="G4" s="67"/>
      <c r="H4" s="67"/>
      <c r="I4" s="1"/>
      <c r="J4" s="1"/>
      <c r="K4" s="1"/>
      <c r="L4" s="1"/>
      <c r="M4" s="1"/>
      <c r="N4" s="1"/>
    </row>
    <row r="5" spans="1:14" ht="16.5" customHeight="1" x14ac:dyDescent="0.2">
      <c r="A5" s="57" t="s">
        <v>2</v>
      </c>
      <c r="B5" s="57" t="s">
        <v>3</v>
      </c>
      <c r="C5" s="58" t="s">
        <v>4</v>
      </c>
      <c r="D5" s="57" t="s">
        <v>5</v>
      </c>
      <c r="E5" s="57" t="s">
        <v>73</v>
      </c>
      <c r="F5" s="57" t="s">
        <v>7</v>
      </c>
      <c r="G5" s="69" t="s">
        <v>144</v>
      </c>
      <c r="H5" s="69" t="s">
        <v>136</v>
      </c>
      <c r="I5" s="1"/>
      <c r="J5" s="1"/>
      <c r="K5" s="1"/>
      <c r="L5" s="1"/>
      <c r="M5" s="1"/>
      <c r="N5" s="1"/>
    </row>
    <row r="6" spans="1:14" ht="152.25" customHeight="1" x14ac:dyDescent="0.2">
      <c r="A6" s="125" t="s">
        <v>10</v>
      </c>
      <c r="B6" s="16">
        <v>1.1000000000000001</v>
      </c>
      <c r="C6" s="17" t="s">
        <v>11</v>
      </c>
      <c r="D6" s="65" t="s">
        <v>168</v>
      </c>
      <c r="E6" s="16">
        <v>1</v>
      </c>
      <c r="F6" s="60">
        <v>7</v>
      </c>
      <c r="G6" s="18"/>
      <c r="H6" s="88"/>
      <c r="I6" s="1"/>
      <c r="J6" s="1"/>
      <c r="K6" s="1"/>
      <c r="L6" s="1"/>
      <c r="M6" s="1"/>
      <c r="N6" s="1"/>
    </row>
    <row r="7" spans="1:14" ht="183.75" customHeight="1" x14ac:dyDescent="0.2">
      <c r="A7" s="127"/>
      <c r="B7" s="16">
        <v>1.2</v>
      </c>
      <c r="C7" s="17" t="s">
        <v>13</v>
      </c>
      <c r="D7" s="65" t="s">
        <v>169</v>
      </c>
      <c r="E7" s="16">
        <v>2</v>
      </c>
      <c r="F7" s="60">
        <v>7</v>
      </c>
      <c r="G7" s="18"/>
      <c r="H7" s="88"/>
      <c r="I7" s="1"/>
      <c r="J7" s="1"/>
      <c r="K7" s="1"/>
      <c r="L7" s="1"/>
      <c r="M7" s="1"/>
      <c r="N7" s="1"/>
    </row>
    <row r="8" spans="1:14" ht="90" customHeight="1" x14ac:dyDescent="0.2">
      <c r="A8" s="127"/>
      <c r="B8" s="16">
        <v>1.3</v>
      </c>
      <c r="C8" s="17" t="s">
        <v>15</v>
      </c>
      <c r="D8" s="27" t="s">
        <v>159</v>
      </c>
      <c r="E8" s="16">
        <v>10</v>
      </c>
      <c r="F8" s="60">
        <v>6</v>
      </c>
      <c r="G8" s="18"/>
      <c r="H8" s="88"/>
      <c r="I8" s="1"/>
      <c r="J8" s="1"/>
      <c r="K8" s="1"/>
      <c r="L8" s="1"/>
      <c r="M8" s="1"/>
      <c r="N8" s="1"/>
    </row>
    <row r="9" spans="1:14" ht="88.5" customHeight="1" x14ac:dyDescent="0.2">
      <c r="A9" s="127"/>
      <c r="B9" s="16">
        <v>1.4</v>
      </c>
      <c r="C9" s="17" t="s">
        <v>75</v>
      </c>
      <c r="D9" s="65" t="s">
        <v>170</v>
      </c>
      <c r="E9" s="16">
        <v>2</v>
      </c>
      <c r="F9" s="60">
        <v>7</v>
      </c>
      <c r="G9" s="18"/>
      <c r="H9" s="88"/>
      <c r="I9" s="1"/>
      <c r="J9" s="1"/>
      <c r="K9" s="1"/>
      <c r="L9" s="1"/>
      <c r="M9" s="1"/>
      <c r="N9" s="1"/>
    </row>
    <row r="10" spans="1:14" ht="66.75" customHeight="1" x14ac:dyDescent="0.2">
      <c r="A10" s="127"/>
      <c r="B10" s="16">
        <v>1.5</v>
      </c>
      <c r="C10" s="17" t="s">
        <v>19</v>
      </c>
      <c r="D10" s="27" t="s">
        <v>171</v>
      </c>
      <c r="E10" s="16">
        <v>2</v>
      </c>
      <c r="F10" s="60">
        <v>7</v>
      </c>
      <c r="G10" s="18"/>
      <c r="H10" s="88"/>
      <c r="I10" s="1"/>
      <c r="J10" s="1"/>
      <c r="K10" s="1"/>
      <c r="L10" s="1"/>
      <c r="M10" s="1"/>
      <c r="N10" s="1"/>
    </row>
    <row r="11" spans="1:14" ht="63.75" customHeight="1" x14ac:dyDescent="0.2">
      <c r="A11" s="102"/>
      <c r="B11" s="16">
        <v>1.6</v>
      </c>
      <c r="C11" s="17" t="s">
        <v>25</v>
      </c>
      <c r="D11" s="27" t="s">
        <v>160</v>
      </c>
      <c r="E11" s="16">
        <v>10</v>
      </c>
      <c r="F11" s="60">
        <v>6</v>
      </c>
      <c r="G11" s="18"/>
      <c r="H11" s="88"/>
      <c r="I11" s="1"/>
      <c r="J11" s="1"/>
      <c r="K11" s="1"/>
      <c r="L11" s="1"/>
      <c r="M11" s="1">
        <v>5</v>
      </c>
      <c r="N11" s="1">
        <v>100</v>
      </c>
    </row>
    <row r="12" spans="1:14" ht="16.5" customHeight="1" x14ac:dyDescent="0.2">
      <c r="A12" s="126" t="s">
        <v>27</v>
      </c>
      <c r="B12" s="100"/>
      <c r="C12" s="100"/>
      <c r="D12" s="100"/>
      <c r="E12" s="100"/>
      <c r="F12" s="101"/>
      <c r="G12" s="61"/>
      <c r="H12" s="89"/>
      <c r="I12" s="1"/>
      <c r="J12" s="1"/>
      <c r="K12" s="1"/>
      <c r="L12" s="1"/>
      <c r="M12" s="1">
        <v>2</v>
      </c>
      <c r="N12" s="1">
        <f>M12*N11/M11</f>
        <v>40</v>
      </c>
    </row>
    <row r="13" spans="1:14" ht="92.25" customHeight="1" x14ac:dyDescent="0.2">
      <c r="A13" s="125" t="s">
        <v>28</v>
      </c>
      <c r="B13" s="16" t="s">
        <v>29</v>
      </c>
      <c r="C13" s="17" t="s">
        <v>78</v>
      </c>
      <c r="D13" s="27" t="s">
        <v>161</v>
      </c>
      <c r="E13" s="16">
        <v>3</v>
      </c>
      <c r="F13" s="60">
        <v>40</v>
      </c>
      <c r="G13" s="18"/>
      <c r="H13" s="88"/>
      <c r="I13" s="1"/>
      <c r="J13" s="1"/>
      <c r="K13" s="1"/>
      <c r="L13" s="1"/>
      <c r="M13" s="1"/>
      <c r="N13" s="1"/>
    </row>
    <row r="14" spans="1:14" ht="58.5" customHeight="1" x14ac:dyDescent="0.2">
      <c r="A14" s="102"/>
      <c r="B14" s="16" t="s">
        <v>32</v>
      </c>
      <c r="C14" s="17" t="s">
        <v>80</v>
      </c>
      <c r="D14" s="27" t="s">
        <v>151</v>
      </c>
      <c r="E14" s="16">
        <f>20*3*40</f>
        <v>2400</v>
      </c>
      <c r="F14" s="16"/>
      <c r="G14" s="18"/>
      <c r="H14" s="88"/>
      <c r="I14" s="1"/>
      <c r="J14" s="1"/>
      <c r="K14" s="1"/>
      <c r="L14" s="1"/>
      <c r="M14" s="1"/>
      <c r="N14" s="1"/>
    </row>
    <row r="15" spans="1:14" ht="16.5" customHeight="1" x14ac:dyDescent="0.2">
      <c r="A15" s="126" t="s">
        <v>41</v>
      </c>
      <c r="B15" s="100"/>
      <c r="C15" s="100"/>
      <c r="D15" s="100"/>
      <c r="E15" s="100"/>
      <c r="F15" s="101"/>
      <c r="G15" s="61"/>
      <c r="H15" s="89"/>
      <c r="I15" s="1"/>
      <c r="J15" s="1"/>
      <c r="K15" s="1"/>
      <c r="L15" s="1"/>
      <c r="M15" s="1"/>
      <c r="N15" s="1"/>
    </row>
    <row r="16" spans="1:14" ht="90" customHeight="1" x14ac:dyDescent="0.2">
      <c r="A16" s="125" t="s">
        <v>42</v>
      </c>
      <c r="B16" s="16">
        <v>3.1</v>
      </c>
      <c r="C16" s="29" t="s">
        <v>152</v>
      </c>
      <c r="D16" s="29" t="s">
        <v>162</v>
      </c>
      <c r="E16" s="16">
        <v>12</v>
      </c>
      <c r="F16" s="16">
        <v>2</v>
      </c>
      <c r="G16" s="18"/>
      <c r="H16" s="88"/>
      <c r="I16" s="1"/>
      <c r="J16" s="1"/>
      <c r="K16" s="1"/>
      <c r="L16" s="1"/>
      <c r="M16" s="1"/>
      <c r="N16" s="1"/>
    </row>
    <row r="17" spans="1:14" ht="196.5" customHeight="1" x14ac:dyDescent="0.2">
      <c r="A17" s="127"/>
      <c r="B17" s="16">
        <v>3.2</v>
      </c>
      <c r="C17" s="17" t="s">
        <v>45</v>
      </c>
      <c r="D17" s="29" t="s">
        <v>163</v>
      </c>
      <c r="E17" s="64">
        <f>70+20</f>
        <v>90</v>
      </c>
      <c r="F17" s="16">
        <f>3*4*40</f>
        <v>480</v>
      </c>
      <c r="G17" s="18"/>
      <c r="H17" s="90"/>
      <c r="I17" s="1"/>
      <c r="J17" s="62"/>
      <c r="K17" s="1"/>
      <c r="L17" s="1"/>
      <c r="M17" s="1"/>
      <c r="N17" s="1"/>
    </row>
    <row r="18" spans="1:14" ht="51" customHeight="1" x14ac:dyDescent="0.2">
      <c r="A18" s="127"/>
      <c r="B18" s="16">
        <v>3.3</v>
      </c>
      <c r="C18" s="17" t="s">
        <v>86</v>
      </c>
      <c r="D18" s="29" t="s">
        <v>153</v>
      </c>
      <c r="E18" s="16">
        <v>24</v>
      </c>
      <c r="F18" s="16">
        <v>40</v>
      </c>
      <c r="G18" s="18"/>
      <c r="H18" s="90"/>
      <c r="I18" s="1"/>
      <c r="J18" s="1"/>
      <c r="K18" s="1"/>
      <c r="L18" s="1"/>
      <c r="M18" s="1"/>
      <c r="N18" s="1"/>
    </row>
    <row r="19" spans="1:14" ht="52.5" customHeight="1" x14ac:dyDescent="0.2">
      <c r="A19" s="127"/>
      <c r="B19" s="16">
        <v>3.4</v>
      </c>
      <c r="C19" s="17" t="s">
        <v>87</v>
      </c>
      <c r="D19" s="29" t="s">
        <v>122</v>
      </c>
      <c r="E19" s="64">
        <f>3*40</f>
        <v>120</v>
      </c>
      <c r="F19" s="16">
        <v>2</v>
      </c>
      <c r="G19" s="18"/>
      <c r="H19" s="88"/>
      <c r="I19" s="1"/>
      <c r="J19" s="1">
        <v>2</v>
      </c>
      <c r="K19" s="1">
        <v>3</v>
      </c>
      <c r="L19" s="1">
        <v>40</v>
      </c>
      <c r="M19" s="1">
        <f>J19*K19*L19</f>
        <v>240</v>
      </c>
      <c r="N19" s="1"/>
    </row>
    <row r="20" spans="1:14" ht="39" customHeight="1" x14ac:dyDescent="0.2">
      <c r="A20" s="127"/>
      <c r="B20" s="16">
        <v>3.5</v>
      </c>
      <c r="C20" s="17" t="s">
        <v>74</v>
      </c>
      <c r="D20" s="29" t="s">
        <v>164</v>
      </c>
      <c r="E20" s="16">
        <v>3170</v>
      </c>
      <c r="F20" s="63"/>
      <c r="G20" s="18"/>
      <c r="H20" s="88"/>
      <c r="I20" s="1"/>
      <c r="J20" s="1"/>
      <c r="K20" s="1"/>
      <c r="L20" s="1"/>
      <c r="M20" s="1"/>
      <c r="N20" s="1"/>
    </row>
    <row r="21" spans="1:14" ht="168.75" customHeight="1" x14ac:dyDescent="0.2">
      <c r="A21" s="102"/>
      <c r="B21" s="16">
        <v>3.6</v>
      </c>
      <c r="C21" s="17" t="s">
        <v>89</v>
      </c>
      <c r="D21" s="29" t="s">
        <v>154</v>
      </c>
      <c r="E21" s="16">
        <v>1</v>
      </c>
      <c r="F21" s="16">
        <v>40</v>
      </c>
      <c r="G21" s="18"/>
      <c r="H21" s="88"/>
      <c r="I21" s="1"/>
      <c r="J21" s="1"/>
      <c r="K21" s="1"/>
      <c r="L21" s="1"/>
      <c r="M21" s="1"/>
      <c r="N21" s="1"/>
    </row>
    <row r="22" spans="1:14" ht="16.5" customHeight="1" x14ac:dyDescent="0.2">
      <c r="A22" s="126" t="s">
        <v>47</v>
      </c>
      <c r="B22" s="100"/>
      <c r="C22" s="100"/>
      <c r="D22" s="100"/>
      <c r="E22" s="100"/>
      <c r="F22" s="101"/>
      <c r="G22" s="61"/>
      <c r="H22" s="89"/>
      <c r="I22" s="1"/>
      <c r="J22" s="1"/>
      <c r="K22" s="1"/>
      <c r="L22" s="1"/>
      <c r="M22" s="1"/>
      <c r="N22" s="1"/>
    </row>
    <row r="23" spans="1:14" ht="16.5" customHeight="1" x14ac:dyDescent="0.2">
      <c r="A23" s="125" t="s">
        <v>48</v>
      </c>
      <c r="B23" s="16">
        <v>4.0999999999999996</v>
      </c>
      <c r="C23" s="17" t="s">
        <v>50</v>
      </c>
      <c r="D23" s="27" t="s">
        <v>165</v>
      </c>
      <c r="E23" s="16">
        <v>10</v>
      </c>
      <c r="F23" s="16">
        <v>40</v>
      </c>
      <c r="G23" s="18"/>
      <c r="H23" s="88"/>
      <c r="I23" s="1"/>
      <c r="J23" s="1"/>
      <c r="K23" s="1"/>
      <c r="L23" s="1"/>
      <c r="M23" s="1"/>
      <c r="N23" s="1"/>
    </row>
    <row r="24" spans="1:14" ht="51.75" customHeight="1" x14ac:dyDescent="0.2">
      <c r="A24" s="127"/>
      <c r="B24" s="16">
        <v>4.2</v>
      </c>
      <c r="C24" s="17" t="s">
        <v>92</v>
      </c>
      <c r="D24" s="17" t="s">
        <v>155</v>
      </c>
      <c r="E24" s="16">
        <v>1</v>
      </c>
      <c r="F24" s="91">
        <v>40</v>
      </c>
      <c r="G24" s="18"/>
      <c r="H24" s="88"/>
      <c r="I24" s="1"/>
      <c r="J24" s="1"/>
      <c r="K24" s="1"/>
      <c r="L24" s="1"/>
      <c r="M24" s="1"/>
      <c r="N24" s="1"/>
    </row>
    <row r="25" spans="1:14" ht="56.25" customHeight="1" x14ac:dyDescent="0.2">
      <c r="A25" s="102"/>
      <c r="B25" s="16">
        <v>4.3</v>
      </c>
      <c r="C25" s="17" t="s">
        <v>53</v>
      </c>
      <c r="D25" s="17" t="s">
        <v>54</v>
      </c>
      <c r="E25" s="16">
        <v>1</v>
      </c>
      <c r="F25" s="16">
        <v>40</v>
      </c>
      <c r="G25" s="18"/>
      <c r="H25" s="88"/>
      <c r="I25" s="1"/>
      <c r="J25" s="1"/>
      <c r="K25" s="1"/>
      <c r="L25" s="1"/>
      <c r="M25" s="1"/>
      <c r="N25" s="1"/>
    </row>
    <row r="26" spans="1:14" ht="16.5" customHeight="1" x14ac:dyDescent="0.2">
      <c r="A26" s="126" t="s">
        <v>55</v>
      </c>
      <c r="B26" s="100"/>
      <c r="C26" s="100"/>
      <c r="D26" s="100"/>
      <c r="E26" s="100"/>
      <c r="F26" s="101"/>
      <c r="G26" s="61"/>
      <c r="H26" s="89"/>
      <c r="I26" s="1"/>
      <c r="J26" s="1"/>
      <c r="K26" s="1"/>
      <c r="L26" s="1"/>
      <c r="M26" s="1"/>
      <c r="N26" s="1"/>
    </row>
    <row r="27" spans="1:14" ht="88.5" customHeight="1" x14ac:dyDescent="0.2">
      <c r="A27" s="125" t="s">
        <v>56</v>
      </c>
      <c r="B27" s="16">
        <v>5.0999999999999996</v>
      </c>
      <c r="C27" s="65" t="s">
        <v>93</v>
      </c>
      <c r="D27" s="65" t="s">
        <v>156</v>
      </c>
      <c r="E27" s="16">
        <f>3*3*2</f>
        <v>18</v>
      </c>
      <c r="F27" s="16">
        <v>2</v>
      </c>
      <c r="G27" s="18"/>
      <c r="H27" s="88"/>
      <c r="I27" s="1"/>
      <c r="J27" s="1"/>
      <c r="K27" s="1"/>
      <c r="L27" s="1"/>
      <c r="M27" s="1"/>
      <c r="N27" s="1"/>
    </row>
    <row r="28" spans="1:14" ht="86.25" customHeight="1" x14ac:dyDescent="0.2">
      <c r="A28" s="102"/>
      <c r="B28" s="16">
        <v>5.2</v>
      </c>
      <c r="C28" s="65" t="s">
        <v>166</v>
      </c>
      <c r="D28" s="65" t="s">
        <v>167</v>
      </c>
      <c r="E28" s="16">
        <f>3*3</f>
        <v>9</v>
      </c>
      <c r="F28" s="16">
        <v>2</v>
      </c>
      <c r="G28" s="18"/>
      <c r="H28" s="88"/>
      <c r="I28" s="1"/>
      <c r="J28" s="1"/>
      <c r="K28" s="1"/>
      <c r="L28" s="1"/>
      <c r="M28" s="1"/>
      <c r="N28" s="87">
        <v>7422198415</v>
      </c>
    </row>
    <row r="29" spans="1:14" ht="16.5" customHeight="1" x14ac:dyDescent="0.2">
      <c r="A29" s="126" t="s">
        <v>60</v>
      </c>
      <c r="B29" s="100"/>
      <c r="C29" s="100"/>
      <c r="D29" s="100"/>
      <c r="E29" s="100"/>
      <c r="F29" s="101"/>
      <c r="G29" s="61"/>
      <c r="H29" s="89"/>
      <c r="I29" s="1"/>
      <c r="J29" s="1"/>
      <c r="K29" s="1"/>
      <c r="L29" s="1"/>
      <c r="M29" s="1"/>
      <c r="N29" s="1"/>
    </row>
    <row r="30" spans="1:14" ht="51.75" customHeight="1" x14ac:dyDescent="0.2">
      <c r="A30" s="125" t="s">
        <v>96</v>
      </c>
      <c r="B30" s="16">
        <v>6.1</v>
      </c>
      <c r="C30" s="17" t="s">
        <v>97</v>
      </c>
      <c r="D30" s="17" t="s">
        <v>157</v>
      </c>
      <c r="E30" s="16">
        <v>3</v>
      </c>
      <c r="F30" s="16">
        <v>1.5</v>
      </c>
      <c r="G30" s="18"/>
      <c r="H30" s="88"/>
      <c r="I30" s="1"/>
      <c r="J30" s="1"/>
      <c r="K30" s="1"/>
      <c r="L30" s="1"/>
      <c r="M30" s="1"/>
      <c r="N30" s="1"/>
    </row>
    <row r="31" spans="1:14" ht="51.75" customHeight="1" x14ac:dyDescent="0.2">
      <c r="A31" s="102"/>
      <c r="B31" s="16">
        <v>6.2</v>
      </c>
      <c r="C31" s="17" t="s">
        <v>139</v>
      </c>
      <c r="D31" s="17" t="s">
        <v>158</v>
      </c>
      <c r="E31" s="16">
        <v>3</v>
      </c>
      <c r="F31" s="16">
        <v>1</v>
      </c>
      <c r="G31" s="18"/>
      <c r="H31" s="88"/>
      <c r="I31" s="1"/>
      <c r="J31" s="1"/>
      <c r="K31" s="1"/>
      <c r="L31" s="1"/>
      <c r="M31" s="1"/>
      <c r="N31" s="1"/>
    </row>
    <row r="32" spans="1:14" ht="16.5" customHeight="1" x14ac:dyDescent="0.2">
      <c r="A32" s="126" t="s">
        <v>65</v>
      </c>
      <c r="B32" s="100"/>
      <c r="C32" s="100"/>
      <c r="D32" s="100"/>
      <c r="E32" s="100"/>
      <c r="F32" s="101"/>
      <c r="G32" s="61">
        <v>0</v>
      </c>
      <c r="H32" s="89">
        <f>SUM(H30:H31)</f>
        <v>0</v>
      </c>
      <c r="I32" s="1"/>
      <c r="J32" s="1"/>
      <c r="K32" s="1"/>
      <c r="L32" s="1"/>
      <c r="M32" s="1"/>
      <c r="N32" s="1"/>
    </row>
    <row r="33" spans="1:14" ht="16.5" customHeight="1" x14ac:dyDescent="0.2">
      <c r="A33" s="39"/>
      <c r="B33" s="39"/>
      <c r="C33" s="39"/>
      <c r="D33" s="39"/>
      <c r="E33" s="39"/>
      <c r="F33" s="39"/>
      <c r="G33" s="40">
        <v>0</v>
      </c>
      <c r="H33" s="92">
        <f>E33*F33*G33</f>
        <v>0</v>
      </c>
      <c r="I33" s="1"/>
      <c r="J33" s="1"/>
      <c r="K33" s="1"/>
      <c r="L33" s="1"/>
      <c r="M33" s="1"/>
      <c r="N33" s="1"/>
    </row>
    <row r="34" spans="1:14" ht="16.5" customHeight="1" x14ac:dyDescent="0.2">
      <c r="A34" s="1"/>
      <c r="B34" s="103" t="s">
        <v>66</v>
      </c>
      <c r="C34" s="104"/>
      <c r="D34" s="104"/>
      <c r="E34" s="104"/>
      <c r="F34" s="105"/>
      <c r="G34" s="81">
        <v>0</v>
      </c>
      <c r="H34" s="93">
        <f>SUM(H32,H29,H26,H22,H15,H12)</f>
        <v>0</v>
      </c>
      <c r="I34" s="1"/>
      <c r="J34" s="1"/>
      <c r="K34" s="1"/>
      <c r="L34" s="1"/>
      <c r="M34" s="1"/>
      <c r="N34" s="1"/>
    </row>
    <row r="35" spans="1:14" ht="16.5" customHeight="1" x14ac:dyDescent="0.2">
      <c r="A35" s="1"/>
      <c r="B35" s="43">
        <v>3</v>
      </c>
      <c r="C35" s="44" t="s">
        <v>67</v>
      </c>
      <c r="D35" s="45"/>
      <c r="E35" s="46" t="s">
        <v>68</v>
      </c>
      <c r="F35" s="46"/>
      <c r="G35" s="47">
        <v>0</v>
      </c>
      <c r="H35" s="94"/>
      <c r="I35" s="1"/>
      <c r="J35" s="1"/>
      <c r="K35" s="1"/>
      <c r="L35" s="1"/>
      <c r="M35" s="1"/>
      <c r="N35" s="1"/>
    </row>
    <row r="36" spans="1:14" ht="78.75" customHeight="1" x14ac:dyDescent="0.2">
      <c r="A36" s="1"/>
      <c r="B36" s="49">
        <v>3.1</v>
      </c>
      <c r="C36" s="50" t="s">
        <v>69</v>
      </c>
      <c r="D36" s="17" t="s">
        <v>70</v>
      </c>
      <c r="E36" s="1"/>
      <c r="F36" s="16" t="s">
        <v>71</v>
      </c>
      <c r="G36" s="51"/>
      <c r="H36" s="95">
        <f>ROUND(H34*G36,0)</f>
        <v>0</v>
      </c>
      <c r="I36" s="96"/>
      <c r="J36" s="1"/>
      <c r="K36" s="1"/>
      <c r="L36" s="1"/>
      <c r="M36" s="1"/>
      <c r="N36" s="1"/>
    </row>
    <row r="37" spans="1:14" ht="38.25" customHeight="1" x14ac:dyDescent="0.2">
      <c r="A37" s="1"/>
      <c r="B37" s="131" t="s">
        <v>133</v>
      </c>
      <c r="C37" s="107"/>
      <c r="D37" s="107"/>
      <c r="E37" s="107"/>
      <c r="F37" s="108"/>
      <c r="G37" s="84">
        <v>0</v>
      </c>
      <c r="H37" s="97">
        <f>H34+H36</f>
        <v>0</v>
      </c>
      <c r="I37" s="1"/>
      <c r="J37" s="14"/>
      <c r="K37" s="1"/>
      <c r="L37" s="1"/>
      <c r="M37" s="1"/>
      <c r="N37" s="1"/>
    </row>
    <row r="38" spans="1:14" ht="16.5" customHeight="1" x14ac:dyDescent="0.2">
      <c r="A38" s="1"/>
      <c r="B38" s="1"/>
      <c r="C38" s="1"/>
      <c r="D38" s="1"/>
      <c r="E38" s="1"/>
      <c r="F38" s="1"/>
      <c r="G38" s="98"/>
      <c r="H38" s="99"/>
      <c r="I38" s="1"/>
      <c r="J38" s="1"/>
      <c r="K38" s="1"/>
      <c r="L38" s="1"/>
      <c r="M38" s="1"/>
      <c r="N38" s="1"/>
    </row>
    <row r="39" spans="1:14" ht="16.5" customHeight="1" x14ac:dyDescent="0.2">
      <c r="A39" s="1"/>
      <c r="B39" s="1"/>
      <c r="C39" s="1"/>
      <c r="D39" s="86"/>
      <c r="E39" s="1"/>
      <c r="F39" s="1"/>
      <c r="G39" s="98"/>
      <c r="H39" s="99"/>
      <c r="I39" s="1"/>
      <c r="J39" s="1"/>
      <c r="K39" s="1"/>
      <c r="L39" s="1"/>
      <c r="M39" s="1"/>
      <c r="N39" s="1"/>
    </row>
    <row r="40" spans="1:14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</sheetData>
  <autoFilter ref="A5:G5" xr:uid="{00000000-0009-0000-0000-00000D000000}"/>
  <mergeCells count="17">
    <mergeCell ref="A27:A28"/>
    <mergeCell ref="A22:F22"/>
    <mergeCell ref="B34:F34"/>
    <mergeCell ref="B37:F37"/>
    <mergeCell ref="A23:A25"/>
    <mergeCell ref="A26:F26"/>
    <mergeCell ref="A29:F29"/>
    <mergeCell ref="A30:A31"/>
    <mergeCell ref="A32:F32"/>
    <mergeCell ref="A13:A14"/>
    <mergeCell ref="A16:A21"/>
    <mergeCell ref="B1:H1"/>
    <mergeCell ref="B2:C3"/>
    <mergeCell ref="D2:H3"/>
    <mergeCell ref="A6:A11"/>
    <mergeCell ref="A12:F12"/>
    <mergeCell ref="A15:F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 2025</vt:lpstr>
      <vt:lpstr>COMPARACIÓN PRESUPUESTO</vt:lpstr>
      <vt:lpstr>PRESUPUESTO DEFINITIVO</vt:lpstr>
      <vt:lpstr>PRESUPUESTO DEFINITIVO 110325</vt:lpstr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</dc:creator>
  <cp:keywords/>
  <dc:description/>
  <cp:lastModifiedBy>Andrea Johanna Parra Triana</cp:lastModifiedBy>
  <cp:revision/>
  <dcterms:created xsi:type="dcterms:W3CDTF">2023-06-29T22:56:39Z</dcterms:created>
  <dcterms:modified xsi:type="dcterms:W3CDTF">2025-10-16T15:49:24Z</dcterms:modified>
  <cp:category/>
  <cp:contentStatus/>
</cp:coreProperties>
</file>