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comments3.xml" ContentType="application/vnd.openxmlformats-officedocument.spreadsheetml.comments+xml"/>
  <Override PartName="/xl/threadedComments/threadedComment2.xml" ContentType="application/vnd.ms-excel.threadedcomments+xml"/>
  <Override PartName="/xl/comments4.xml" ContentType="application/vnd.openxmlformats-officedocument.spreadsheetml.comments+xml"/>
  <Override PartName="/xl/threadedComments/threadedComment3.xml" ContentType="application/vnd.ms-excel.threadedcomments+xml"/>
  <Override PartName="/xl/comments5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7a85ba4e9aa34f8/Documentos/DIRECCIÓN DE CALIDAD BÁSICA MEN/PROCESOS PRECONTRACTUALES/ADICIÓN FONDO ICETEX MEDIA/DOCUMENTOS ANÁLISIS FINANCIERO/ESTRATEGIA 2 EDUCACIÓN RURAL/"/>
    </mc:Choice>
  </mc:AlternateContent>
  <xr:revisionPtr revIDLastSave="846" documentId="8_{3F073950-ABBB-4EFF-9D96-9C08CEF35C94}" xr6:coauthVersionLast="47" xr6:coauthVersionMax="47" xr10:uidLastSave="{981C2B57-A89C-48B3-A7D4-394096DF30E7}"/>
  <bookViews>
    <workbookView xWindow="-108" yWindow="-108" windowWidth="23256" windowHeight="13896" firstSheet="5" activeTab="5" xr2:uid="{A706C31A-9627-4845-BA24-55A3CA8FE7DB}"/>
  </bookViews>
  <sheets>
    <sheet name="BID 2023-2" sheetId="1" state="hidden" r:id="rId1"/>
    <sheet name="PRESUPUESTO 2025" sheetId="3" state="hidden" r:id="rId2"/>
    <sheet name="COMPARACIÓN PRESUPUESTO" sheetId="11" state="hidden" r:id="rId3"/>
    <sheet name="PRESUPUESTO DEFINITIVO" sheetId="15" state="hidden" r:id="rId4"/>
    <sheet name="PRESUPUESTO DEFINITIVO 110325" sheetId="16" state="hidden" r:id="rId5"/>
    <sheet name="PRESUPUESTO DEFINITIVO VF" sheetId="17" r:id="rId6"/>
  </sheets>
  <definedNames>
    <definedName name="_xlnm._FilterDatabase" localSheetId="2" hidden="1">'COMPARACIÓN PRESUPUESTO'!$A$5:$W$5</definedName>
    <definedName name="_xlnm._FilterDatabase" localSheetId="3" hidden="1">'PRESUPUESTO DEFINITIVO'!$A$5:$I$5</definedName>
    <definedName name="_xlnm._FilterDatabase" localSheetId="4" hidden="1">'PRESUPUESTO DEFINITIVO 110325'!$A$5:$I$5</definedName>
    <definedName name="_xlnm._FilterDatabase" localSheetId="5" hidden="1">'PRESUPUESTO DEFINITIVO VF'!$A$5:$I$5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7" l="1"/>
  <c r="G36" i="17"/>
  <c r="J33" i="17"/>
  <c r="H31" i="17"/>
  <c r="G31" i="17"/>
  <c r="J32" i="17"/>
  <c r="H30" i="17"/>
  <c r="G30" i="17"/>
  <c r="H28" i="17"/>
  <c r="G28" i="17"/>
  <c r="J29" i="17"/>
  <c r="H27" i="17"/>
  <c r="G27" i="17"/>
  <c r="H25" i="17"/>
  <c r="G25" i="17"/>
  <c r="H24" i="17"/>
  <c r="G24" i="17"/>
  <c r="J26" i="17"/>
  <c r="H23" i="17"/>
  <c r="G23" i="17"/>
  <c r="H21" i="17"/>
  <c r="G21" i="17"/>
  <c r="H20" i="17"/>
  <c r="G20" i="17"/>
  <c r="H19" i="17"/>
  <c r="G19" i="17"/>
  <c r="H18" i="17"/>
  <c r="G18" i="17"/>
  <c r="J17" i="17"/>
  <c r="H17" i="17"/>
  <c r="G17" i="17"/>
  <c r="J22" i="17"/>
  <c r="H16" i="17"/>
  <c r="G16" i="17"/>
  <c r="J14" i="17"/>
  <c r="H14" i="17"/>
  <c r="G14" i="17"/>
  <c r="J13" i="17"/>
  <c r="J15" i="17" s="1"/>
  <c r="H13" i="17"/>
  <c r="G13" i="17"/>
  <c r="J11" i="17"/>
  <c r="H11" i="17"/>
  <c r="G11" i="17"/>
  <c r="H10" i="17"/>
  <c r="G10" i="17"/>
  <c r="J9" i="17"/>
  <c r="H9" i="17"/>
  <c r="G9" i="17"/>
  <c r="H8" i="17"/>
  <c r="G8" i="17"/>
  <c r="H7" i="17"/>
  <c r="G7" i="17"/>
  <c r="J12" i="17"/>
  <c r="H6" i="17"/>
  <c r="G6" i="17"/>
  <c r="J7" i="16"/>
  <c r="J34" i="17" l="1"/>
  <c r="J36" i="17"/>
  <c r="J37" i="17" s="1"/>
  <c r="N6" i="11"/>
  <c r="L14" i="16"/>
  <c r="L43" i="16"/>
  <c r="K43" i="16"/>
  <c r="J41" i="16"/>
  <c r="H39" i="16"/>
  <c r="G39" i="16"/>
  <c r="J36" i="16"/>
  <c r="J34" i="16"/>
  <c r="H34" i="16"/>
  <c r="G34" i="16"/>
  <c r="J33" i="16"/>
  <c r="J35" i="16" s="1"/>
  <c r="H33" i="16"/>
  <c r="G33" i="16"/>
  <c r="J31" i="16"/>
  <c r="J32" i="16" s="1"/>
  <c r="H31" i="16"/>
  <c r="G31" i="16"/>
  <c r="J30" i="16"/>
  <c r="H30" i="16"/>
  <c r="G30" i="16"/>
  <c r="J28" i="16"/>
  <c r="H28" i="16"/>
  <c r="G28" i="16"/>
  <c r="J27" i="16"/>
  <c r="H27" i="16"/>
  <c r="G27" i="16"/>
  <c r="J26" i="16"/>
  <c r="H26" i="16"/>
  <c r="G26" i="16"/>
  <c r="J25" i="16"/>
  <c r="H25" i="16"/>
  <c r="G25" i="16"/>
  <c r="J24" i="16"/>
  <c r="H24" i="16"/>
  <c r="G24" i="16"/>
  <c r="J22" i="16"/>
  <c r="H22" i="16"/>
  <c r="G22" i="16"/>
  <c r="J21" i="16"/>
  <c r="H21" i="16"/>
  <c r="G21" i="16"/>
  <c r="J20" i="16"/>
  <c r="H20" i="16"/>
  <c r="G20" i="16"/>
  <c r="J19" i="16"/>
  <c r="H19" i="16"/>
  <c r="G19" i="16"/>
  <c r="J18" i="16"/>
  <c r="H18" i="16"/>
  <c r="G18" i="16"/>
  <c r="J17" i="16"/>
  <c r="H17" i="16"/>
  <c r="G17" i="16"/>
  <c r="J16" i="16"/>
  <c r="H16" i="16"/>
  <c r="G16" i="16"/>
  <c r="J14" i="16"/>
  <c r="H14" i="16"/>
  <c r="G14" i="16"/>
  <c r="J13" i="16"/>
  <c r="H13" i="16"/>
  <c r="G13" i="16"/>
  <c r="J11" i="16"/>
  <c r="H11" i="16"/>
  <c r="G11" i="16"/>
  <c r="J10" i="16"/>
  <c r="H10" i="16"/>
  <c r="G10" i="16"/>
  <c r="J9" i="16"/>
  <c r="H9" i="16"/>
  <c r="G9" i="16"/>
  <c r="J8" i="16"/>
  <c r="H8" i="16"/>
  <c r="G8" i="16"/>
  <c r="H7" i="16"/>
  <c r="G7" i="16"/>
  <c r="J6" i="16"/>
  <c r="J12" i="16" s="1"/>
  <c r="H6" i="16"/>
  <c r="G6" i="16"/>
  <c r="J41" i="15"/>
  <c r="H39" i="15"/>
  <c r="G39" i="15"/>
  <c r="J36" i="15"/>
  <c r="H34" i="15"/>
  <c r="J33" i="15"/>
  <c r="J31" i="15"/>
  <c r="J30" i="15"/>
  <c r="H30" i="15"/>
  <c r="J28" i="15"/>
  <c r="H28" i="15"/>
  <c r="G28" i="15"/>
  <c r="J26" i="15"/>
  <c r="H26" i="15"/>
  <c r="J25" i="15"/>
  <c r="J24" i="15"/>
  <c r="H22" i="15"/>
  <c r="J21" i="15"/>
  <c r="J20" i="15"/>
  <c r="H20" i="15"/>
  <c r="G19" i="15"/>
  <c r="J17" i="15"/>
  <c r="J14" i="15"/>
  <c r="H14" i="15"/>
  <c r="G14" i="15"/>
  <c r="H13" i="15"/>
  <c r="H11" i="15"/>
  <c r="G11" i="15"/>
  <c r="J11" i="15"/>
  <c r="H10" i="15"/>
  <c r="G10" i="15"/>
  <c r="J10" i="15"/>
  <c r="H9" i="15"/>
  <c r="G9" i="15"/>
  <c r="J9" i="15"/>
  <c r="H8" i="15"/>
  <c r="G8" i="15"/>
  <c r="J8" i="15"/>
  <c r="H7" i="15"/>
  <c r="G7" i="15"/>
  <c r="J7" i="15"/>
  <c r="H6" i="15"/>
  <c r="G6" i="15"/>
  <c r="J6" i="15"/>
  <c r="J29" i="16" l="1"/>
  <c r="J23" i="16"/>
  <c r="J15" i="16"/>
  <c r="J32" i="15"/>
  <c r="G16" i="15"/>
  <c r="H16" i="15"/>
  <c r="H21" i="15"/>
  <c r="G21" i="15"/>
  <c r="J16" i="15"/>
  <c r="J19" i="15"/>
  <c r="H19" i="15"/>
  <c r="J12" i="15"/>
  <c r="J27" i="15"/>
  <c r="H27" i="15"/>
  <c r="G27" i="15"/>
  <c r="H31" i="15"/>
  <c r="G31" i="15"/>
  <c r="G33" i="15"/>
  <c r="H33" i="15"/>
  <c r="J18" i="15"/>
  <c r="H18" i="15"/>
  <c r="G18" i="15"/>
  <c r="H25" i="15"/>
  <c r="G25" i="15"/>
  <c r="J13" i="15"/>
  <c r="G13" i="15"/>
  <c r="G20" i="15"/>
  <c r="J22" i="15"/>
  <c r="G17" i="15"/>
  <c r="G24" i="15"/>
  <c r="J34" i="15"/>
  <c r="H17" i="15"/>
  <c r="H24" i="15"/>
  <c r="G22" i="15"/>
  <c r="G34" i="15"/>
  <c r="G26" i="15"/>
  <c r="G30" i="15"/>
  <c r="J37" i="16" l="1"/>
  <c r="J39" i="16" s="1"/>
  <c r="J40" i="16" s="1"/>
  <c r="J29" i="15"/>
  <c r="J15" i="15"/>
  <c r="J35" i="15"/>
  <c r="J23" i="15"/>
  <c r="J44" i="16" l="1"/>
  <c r="J42" i="16"/>
  <c r="J37" i="15"/>
  <c r="J39" i="15" l="1"/>
  <c r="J40" i="15" s="1"/>
  <c r="J42" i="15" l="1"/>
  <c r="G22" i="11" l="1"/>
  <c r="Q16" i="11" l="1"/>
  <c r="Q17" i="11" l="1"/>
  <c r="P39" i="11" l="1"/>
  <c r="O39" i="11"/>
  <c r="M39" i="11"/>
  <c r="L39" i="11"/>
  <c r="Q39" i="11" s="1"/>
  <c r="K39" i="11"/>
  <c r="N39" i="11" l="1"/>
  <c r="Q40" i="11"/>
  <c r="Q38" i="11"/>
  <c r="Q37" i="11"/>
  <c r="Q36" i="11"/>
  <c r="Q35" i="11"/>
  <c r="Q32" i="11"/>
  <c r="Q29" i="11"/>
  <c r="Q23" i="11"/>
  <c r="Q15" i="11"/>
  <c r="Q12" i="11"/>
  <c r="W36" i="11" l="1"/>
  <c r="W38" i="11"/>
  <c r="W39" i="11"/>
  <c r="W40" i="11"/>
  <c r="P28" i="11"/>
  <c r="O28" i="11"/>
  <c r="M28" i="11"/>
  <c r="L28" i="11"/>
  <c r="Q28" i="11" s="1"/>
  <c r="K28" i="11"/>
  <c r="W28" i="11" s="1"/>
  <c r="P14" i="11"/>
  <c r="O14" i="11"/>
  <c r="M14" i="11"/>
  <c r="L14" i="11"/>
  <c r="K14" i="11"/>
  <c r="W14" i="11" s="1"/>
  <c r="P11" i="11"/>
  <c r="O11" i="11"/>
  <c r="M11" i="11"/>
  <c r="L11" i="11"/>
  <c r="Q11" i="11" s="1"/>
  <c r="K11" i="11"/>
  <c r="W11" i="11" s="1"/>
  <c r="P10" i="11"/>
  <c r="O10" i="11"/>
  <c r="M10" i="11"/>
  <c r="L10" i="11"/>
  <c r="Q10" i="11" s="1"/>
  <c r="K10" i="11"/>
  <c r="W10" i="11" s="1"/>
  <c r="P9" i="11"/>
  <c r="O9" i="11"/>
  <c r="M9" i="11"/>
  <c r="L9" i="11"/>
  <c r="Q9" i="11" s="1"/>
  <c r="K9" i="11"/>
  <c r="W9" i="11" s="1"/>
  <c r="P8" i="11"/>
  <c r="O8" i="11"/>
  <c r="M8" i="11"/>
  <c r="L8" i="11"/>
  <c r="Q8" i="11" s="1"/>
  <c r="K8" i="11"/>
  <c r="W8" i="11" s="1"/>
  <c r="P7" i="11"/>
  <c r="O7" i="11"/>
  <c r="M7" i="11"/>
  <c r="L7" i="11"/>
  <c r="Q7" i="11" s="1"/>
  <c r="K7" i="11"/>
  <c r="W7" i="11" s="1"/>
  <c r="P6" i="11"/>
  <c r="O6" i="11"/>
  <c r="M6" i="11"/>
  <c r="L6" i="11"/>
  <c r="Q6" i="11" s="1"/>
  <c r="K6" i="11"/>
  <c r="W6" i="11" s="1"/>
  <c r="V39" i="11"/>
  <c r="U39" i="11"/>
  <c r="T39" i="11"/>
  <c r="V7" i="11"/>
  <c r="V8" i="11"/>
  <c r="V9" i="11"/>
  <c r="V10" i="11"/>
  <c r="V11" i="11"/>
  <c r="V14" i="11"/>
  <c r="V28" i="11"/>
  <c r="V36" i="11"/>
  <c r="V38" i="11"/>
  <c r="V40" i="11"/>
  <c r="V6" i="11"/>
  <c r="I41" i="11"/>
  <c r="U7" i="11"/>
  <c r="U8" i="11"/>
  <c r="U9" i="11"/>
  <c r="U10" i="11"/>
  <c r="U11" i="11"/>
  <c r="U14" i="11"/>
  <c r="U28" i="11"/>
  <c r="U36" i="11"/>
  <c r="U38" i="11"/>
  <c r="U6" i="11"/>
  <c r="I33" i="11"/>
  <c r="I27" i="11"/>
  <c r="I22" i="11"/>
  <c r="I17" i="11"/>
  <c r="N10" i="11" l="1"/>
  <c r="N28" i="11"/>
  <c r="N7" i="11"/>
  <c r="N11" i="11"/>
  <c r="N9" i="11"/>
  <c r="N14" i="11"/>
  <c r="N8" i="11"/>
  <c r="T7" i="11" l="1"/>
  <c r="T8" i="11"/>
  <c r="T9" i="11"/>
  <c r="T10" i="11"/>
  <c r="T11" i="11"/>
  <c r="T14" i="11"/>
  <c r="T28" i="11"/>
  <c r="T36" i="11"/>
  <c r="T38" i="11"/>
  <c r="T40" i="11"/>
  <c r="T6" i="11"/>
  <c r="G34" i="11"/>
  <c r="L34" i="11" s="1"/>
  <c r="Q34" i="11" s="1"/>
  <c r="G33" i="11"/>
  <c r="G31" i="11"/>
  <c r="G30" i="11"/>
  <c r="G27" i="11"/>
  <c r="Q27" i="11" s="1"/>
  <c r="G26" i="11"/>
  <c r="G25" i="11"/>
  <c r="G24" i="11"/>
  <c r="G21" i="11"/>
  <c r="G20" i="11"/>
  <c r="G19" i="11"/>
  <c r="G18" i="11"/>
  <c r="G16" i="11"/>
  <c r="G13" i="11"/>
  <c r="G12" i="11"/>
  <c r="W12" i="11" s="1"/>
  <c r="V30" i="11" l="1"/>
  <c r="K30" i="11"/>
  <c r="M30" i="11"/>
  <c r="P30" i="11"/>
  <c r="O30" i="11"/>
  <c r="L30" i="11"/>
  <c r="W30" i="11"/>
  <c r="P13" i="11"/>
  <c r="L13" i="11"/>
  <c r="Q13" i="11" s="1"/>
  <c r="O13" i="11"/>
  <c r="M13" i="11"/>
  <c r="K13" i="11"/>
  <c r="W13" i="11"/>
  <c r="Q18" i="11"/>
  <c r="P18" i="11"/>
  <c r="O18" i="11"/>
  <c r="L18" i="11"/>
  <c r="M18" i="11"/>
  <c r="K18" i="11"/>
  <c r="W18" i="11" s="1"/>
  <c r="V31" i="11"/>
  <c r="O31" i="11"/>
  <c r="M31" i="11"/>
  <c r="L31" i="11"/>
  <c r="K31" i="11"/>
  <c r="W31" i="11" s="1"/>
  <c r="P31" i="11"/>
  <c r="V33" i="11"/>
  <c r="L33" i="11"/>
  <c r="K33" i="11"/>
  <c r="P33" i="11"/>
  <c r="M33" i="11"/>
  <c r="W33" i="11"/>
  <c r="O33" i="11"/>
  <c r="V21" i="11"/>
  <c r="O21" i="11"/>
  <c r="M21" i="11"/>
  <c r="L21" i="11"/>
  <c r="Q21" i="11" s="1"/>
  <c r="K21" i="11"/>
  <c r="W21" i="11" s="1"/>
  <c r="P21" i="11"/>
  <c r="V24" i="11"/>
  <c r="Q24" i="11"/>
  <c r="L24" i="11"/>
  <c r="P24" i="11"/>
  <c r="O24" i="11"/>
  <c r="K24" i="11"/>
  <c r="W24" i="11" s="1"/>
  <c r="M24" i="11"/>
  <c r="V25" i="11"/>
  <c r="O25" i="11"/>
  <c r="P25" i="11"/>
  <c r="K25" i="11"/>
  <c r="W25" i="11" s="1"/>
  <c r="M25" i="11"/>
  <c r="L25" i="11"/>
  <c r="V26" i="11"/>
  <c r="P26" i="11"/>
  <c r="O26" i="11"/>
  <c r="M26" i="11"/>
  <c r="K26" i="11"/>
  <c r="W26" i="11" s="1"/>
  <c r="L26" i="11"/>
  <c r="V34" i="11"/>
  <c r="M34" i="11"/>
  <c r="K34" i="11"/>
  <c r="W34" i="11" s="1"/>
  <c r="O34" i="11"/>
  <c r="P34" i="11"/>
  <c r="V16" i="11"/>
  <c r="P16" i="11"/>
  <c r="M16" i="11"/>
  <c r="K16" i="11"/>
  <c r="O16" i="11"/>
  <c r="W16" i="11"/>
  <c r="L16" i="11"/>
  <c r="V19" i="11"/>
  <c r="P19" i="11"/>
  <c r="O19" i="11"/>
  <c r="Q19" i="11"/>
  <c r="K19" i="11"/>
  <c r="W19" i="11" s="1"/>
  <c r="L19" i="11"/>
  <c r="M19" i="11"/>
  <c r="V20" i="11"/>
  <c r="P20" i="11"/>
  <c r="O20" i="11"/>
  <c r="L20" i="11"/>
  <c r="M20" i="11"/>
  <c r="K20" i="11"/>
  <c r="W20" i="11" s="1"/>
  <c r="V27" i="11"/>
  <c r="P27" i="11"/>
  <c r="O27" i="11"/>
  <c r="K27" i="11"/>
  <c r="W27" i="11" s="1"/>
  <c r="M27" i="11"/>
  <c r="N27" i="11" s="1"/>
  <c r="L27" i="11"/>
  <c r="T20" i="11"/>
  <c r="T21" i="11"/>
  <c r="T19" i="11"/>
  <c r="T27" i="11"/>
  <c r="U12" i="11"/>
  <c r="V12" i="11"/>
  <c r="T26" i="11"/>
  <c r="U13" i="11"/>
  <c r="V13" i="11"/>
  <c r="T13" i="11"/>
  <c r="G15" i="11"/>
  <c r="T18" i="11"/>
  <c r="V18" i="11"/>
  <c r="T12" i="11"/>
  <c r="U16" i="11"/>
  <c r="U24" i="11"/>
  <c r="G35" i="11"/>
  <c r="U33" i="11"/>
  <c r="U18" i="11"/>
  <c r="U19" i="11"/>
  <c r="U25" i="11"/>
  <c r="U26" i="11"/>
  <c r="U27" i="11"/>
  <c r="U34" i="11"/>
  <c r="U20" i="11"/>
  <c r="T33" i="11"/>
  <c r="U21" i="11"/>
  <c r="G29" i="11"/>
  <c r="T34" i="11"/>
  <c r="T30" i="11"/>
  <c r="U30" i="11"/>
  <c r="U31" i="11"/>
  <c r="G32" i="11"/>
  <c r="T16" i="11"/>
  <c r="T31" i="11"/>
  <c r="T25" i="11"/>
  <c r="T24" i="11"/>
  <c r="N30" i="11" l="1"/>
  <c r="N24" i="11"/>
  <c r="N25" i="11"/>
  <c r="N19" i="11"/>
  <c r="N33" i="11"/>
  <c r="N18" i="11"/>
  <c r="V32" i="11"/>
  <c r="W32" i="11"/>
  <c r="N20" i="11"/>
  <c r="N31" i="11"/>
  <c r="N26" i="11"/>
  <c r="N16" i="11"/>
  <c r="N13" i="11"/>
  <c r="N21" i="11"/>
  <c r="V35" i="11"/>
  <c r="W35" i="11"/>
  <c r="N34" i="11"/>
  <c r="V15" i="11"/>
  <c r="W15" i="11"/>
  <c r="V29" i="11"/>
  <c r="W29" i="11"/>
  <c r="U15" i="11"/>
  <c r="T15" i="11"/>
  <c r="T29" i="11"/>
  <c r="U29" i="11"/>
  <c r="U35" i="11"/>
  <c r="T35" i="11"/>
  <c r="T32" i="11"/>
  <c r="U32" i="11"/>
  <c r="E20" i="3" l="1"/>
  <c r="H16" i="3"/>
  <c r="E15" i="3"/>
  <c r="H15" i="3"/>
  <c r="H20" i="3"/>
  <c r="G27" i="3"/>
  <c r="G29" i="3"/>
  <c r="H26" i="3"/>
  <c r="H27" i="3" s="1"/>
  <c r="G23" i="3"/>
  <c r="H23" i="3" s="1"/>
  <c r="G22" i="3"/>
  <c r="E21" i="3"/>
  <c r="H21" i="3" s="1"/>
  <c r="E18" i="3"/>
  <c r="H18" i="3" s="1"/>
  <c r="H11" i="3"/>
  <c r="M8" i="3"/>
  <c r="M9" i="3" s="1"/>
  <c r="H28" i="3"/>
  <c r="H29" i="3" s="1"/>
  <c r="H22" i="3" l="1"/>
  <c r="G25" i="3"/>
  <c r="G19" i="3"/>
  <c r="H17" i="3"/>
  <c r="G17" i="11" l="1"/>
  <c r="V22" i="11"/>
  <c r="P22" i="11"/>
  <c r="O22" i="11"/>
  <c r="M22" i="11"/>
  <c r="L22" i="11"/>
  <c r="Q22" i="11" s="1"/>
  <c r="K22" i="11"/>
  <c r="W22" i="11" s="1"/>
  <c r="U22" i="11"/>
  <c r="T22" i="11"/>
  <c r="H19" i="3"/>
  <c r="V17" i="11" l="1"/>
  <c r="P17" i="11"/>
  <c r="U17" i="11"/>
  <c r="M17" i="11"/>
  <c r="L17" i="11"/>
  <c r="T17" i="11"/>
  <c r="G23" i="11"/>
  <c r="K17" i="11"/>
  <c r="W17" i="11" s="1"/>
  <c r="O17" i="11"/>
  <c r="N22" i="11"/>
  <c r="H24" i="3"/>
  <c r="H25" i="3" s="1"/>
  <c r="V23" i="11" l="1"/>
  <c r="W23" i="11"/>
  <c r="T23" i="11"/>
  <c r="U23" i="11"/>
  <c r="G37" i="11"/>
  <c r="N17" i="11"/>
  <c r="V37" i="11" l="1"/>
  <c r="W37" i="11"/>
  <c r="T37" i="11"/>
  <c r="U37" i="11"/>
  <c r="H7" i="3" l="1"/>
  <c r="H9" i="3"/>
  <c r="H10" i="3"/>
  <c r="H13" i="3"/>
  <c r="E17" i="1" l="1"/>
  <c r="E12" i="1"/>
  <c r="E21" i="1"/>
  <c r="E18" i="1"/>
  <c r="E16" i="1"/>
  <c r="E15" i="1"/>
  <c r="B10" i="1"/>
  <c r="E9" i="1"/>
  <c r="E8" i="1"/>
  <c r="E7" i="1"/>
  <c r="E6" i="1"/>
  <c r="E5" i="1"/>
  <c r="E4" i="1"/>
  <c r="E22" i="1" l="1"/>
  <c r="E10" i="1"/>
  <c r="L14" i="1"/>
  <c r="E14" i="1" s="1"/>
  <c r="L13" i="1"/>
  <c r="B13" i="1" s="1"/>
  <c r="E13" i="1" s="1"/>
  <c r="L12" i="1"/>
  <c r="E19" i="1" l="1"/>
  <c r="E24" i="1" s="1"/>
  <c r="E26" i="1" s="1"/>
  <c r="E27" i="1" s="1"/>
  <c r="E28" i="1" s="1"/>
  <c r="B36" i="1" s="1"/>
  <c r="E33" i="1" l="1"/>
  <c r="B37" i="1" s="1"/>
  <c r="B38" i="1" s="1"/>
  <c r="B42" i="1" s="1"/>
  <c r="E31" i="1"/>
  <c r="E34" i="1" l="1"/>
  <c r="B40" i="1"/>
  <c r="H8" i="3"/>
  <c r="H6" i="3"/>
  <c r="G14" i="3"/>
  <c r="G31" i="3" s="1"/>
  <c r="H14" i="3" l="1"/>
  <c r="H31" i="3" s="1"/>
  <c r="H33" i="3" l="1"/>
  <c r="H34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Carolina Ardila Verano</author>
  </authors>
  <commentList>
    <comment ref="E33" authorId="0" shapeId="0" xr:uid="{46033E08-73E7-43EC-834C-6BDA538BAB0D}">
      <text>
        <r>
          <rPr>
            <b/>
            <sz val="9"/>
            <color rgb="FF000000"/>
            <rFont val="Tahoma"/>
            <family val="2"/>
          </rPr>
          <t>Carolina Ardila Verano: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Se calcula sobre el valor de la segunda convocatoria.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tc={9395003B-FD3B-4C16-8167-FB0AE76AA022}</author>
    <author>tc={7E75CB1C-61E1-4252-9683-A4AD757988FE}</author>
    <author>tc={8055BAE5-2283-4BDE-9847-DBCB0E599AE3}</author>
    <author>tc={A9D948E9-F003-4DBD-9CBA-5C346F6F99F5}</author>
    <author>tc={D6ED984C-17A6-45E5-A0B1-106FABC21560}</author>
    <author>tc={C61CAC44-0702-4456-8706-BE014C6F1E93}</author>
    <author>tc={F9E326EE-00A8-4276-BC80-636BCA0A1F35}</author>
    <author>tc={DA3DC245-ECE9-4070-B92E-344434DA4506}</author>
    <author>tc={0E8AACD3-6180-4B6A-8C9E-92832559EE1F}</author>
    <author>tc={C5ECCD76-F19C-481B-879F-C17EAEFFD566}</author>
    <author>tc={C1D204E3-16B1-42FA-9282-8B86A67E3719}</author>
    <author>tc={5EE0795E-8D00-45B6-8090-DAF3791BCACE}</author>
    <author>tc={80387F01-B8D9-4C95-B238-20A6235CB40E}</author>
    <author>tc={437A550B-DAA5-4845-B756-1BC9992F7030}</author>
    <author>tc={6FD53488-3D56-43DE-B53C-061FC572AB92}</author>
    <author>tc={3025CB6D-31DF-45D7-8CDB-61018098D64F}</author>
    <author>tc={51D0CE77-2DD7-4942-9C03-6A807D6F6C05}</author>
    <author>tc={E4E4D818-BFF1-450E-966F-34C09D7798C5}</author>
    <author>tc={7C916B2A-B9E5-482E-8569-D673106F9CDA}</author>
    <author>tc={3764F15B-BB9C-4EAC-B5C2-F7FC8D53900E}</author>
    <author>tc={C52B1A8E-00F3-45AA-AEA0-D6636017E4EA}</author>
    <author>tc={49CE9779-77B4-4959-8B3F-7D04FC2867F8}</author>
    <author>tc={A83A27CA-E166-4956-91B4-F2D02E69FFB7}</author>
    <author>tc={E0FA4676-171D-4CC0-AA6F-999A6FB1C1F4}</author>
    <author>tc={5BC2B681-DB8D-4162-9A32-9A211476C47A}</author>
    <author>tc={0DF2DBC0-CE47-4275-876A-6D8C853D3723}</author>
    <author>tc={F94E9C46-F18F-4B4D-A387-C18B42D75715}</author>
    <author>tc={AAD83A08-CCAB-46FB-B510-D46019A3C282}</author>
  </authors>
  <commentList>
    <comment ref="E13" authorId="0" shapeId="0" xr:uid="{9395003B-FD3B-4C16-8167-FB0AE76AA022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Encuentros</t>
      </text>
    </comment>
    <comment ref="F13" authorId="1" shapeId="0" xr:uid="{7E75CB1C-61E1-4252-9683-A4AD757988FE}">
      <text>
        <t>[Threaded comment]
Your version of Excel allows you to read this threaded comment; however, any edits to it will get removed if the file is opened in a newer version of Excel. Learn more: https://go.microsoft.com/fwlink/?linkid=870924
Comment:
    Número de sedes</t>
      </text>
    </comment>
    <comment ref="E14" authorId="2" shapeId="0" xr:uid="{8055BAE5-2283-4BDE-9847-DBCB0E599AE3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Transportes terrestres</t>
      </text>
    </comment>
    <comment ref="E16" authorId="3" shapeId="0" xr:uid="{A9D948E9-F003-4DBD-9CBA-5C346F6F99F5}">
      <text>
        <t>[Threaded comment]
Your version of Excel allows you to read this threaded comment; however, any edits to it will get removed if the file is opened in a newer version of Excel. Learn more: https://go.microsoft.com/fwlink/?linkid=870924
Comment:
    Número Total de Visitas</t>
      </text>
    </comment>
    <comment ref="F16" authorId="4" shapeId="0" xr:uid="{D6ED984C-17A6-45E5-A0B1-106FABC21560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Profesionales</t>
      </text>
    </comment>
    <comment ref="E17" authorId="5" shapeId="0" xr:uid="{C61CAC44-0702-4456-8706-BE014C6F1E93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personas asistentes (# de refrigerios requeridos)</t>
      </text>
    </comment>
    <comment ref="F17" authorId="6" shapeId="0" xr:uid="{F9E326EE-00A8-4276-BC80-636BCA0A1F35}">
      <text>
        <t>[Threaded comment]
Your version of Excel allows you to read this threaded comment; however, any edits to it will get removed if the file is opened in a newer version of Excel. Learn more: https://go.microsoft.com/fwlink/?linkid=870924
Comment:
    No. de encuentros</t>
      </text>
    </comment>
    <comment ref="E18" authorId="7" shapeId="0" xr:uid="{DA3DC245-ECE9-4070-B92E-344434DA4506}">
      <text>
        <t>[Threaded comment]
Your version of Excel allows you to read this threaded comment; however, any edits to it will get removed if the file is opened in a newer version of Excel. Learn more: https://go.microsoft.com/fwlink/?linkid=870924
Comment:
    Horas en total proyecto</t>
      </text>
    </comment>
    <comment ref="E19" authorId="8" shapeId="0" xr:uid="{0E8AACD3-6180-4B6A-8C9E-92832559EE1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24 días de viáticos* (12 por persona), 20 sedes
</t>
      </text>
    </comment>
    <comment ref="F19" authorId="9" shapeId="0" xr:uid="{C5ECCD76-F19C-481B-879F-C17EAEFFD566}">
      <text>
        <t>[Threaded comment]
Your version of Excel allows you to read this threaded comment; however, any edits to it will get removed if the file is opened in a newer version of Excel. Learn more: https://go.microsoft.com/fwlink/?linkid=870924
Comment:
    Número de sedes</t>
      </text>
    </comment>
    <comment ref="E20" authorId="10" shapeId="0" xr:uid="{C1D204E3-16B1-42FA-9282-8B86A67E3719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Visitas (# de transportes terrestres)</t>
      </text>
    </comment>
    <comment ref="F20" authorId="11" shapeId="0" xr:uid="{5EE0795E-8D00-45B6-8090-DAF3791BCACE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personas</t>
      </text>
    </comment>
    <comment ref="E21" authorId="12" shapeId="0" xr:uid="{80387F01-B8D9-4C95-B238-20A6235CB40E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Certificados</t>
      </text>
    </comment>
    <comment ref="E22" authorId="13" shapeId="0" xr:uid="{437A550B-DAA5-4845-B756-1BC9992F7030}">
      <text>
        <t>[Threaded comment]
Your version of Excel allows you to read this threaded comment; however, any edits to it will get removed if the file is opened in a newer version of Excel. Learn more: https://go.microsoft.com/fwlink/?linkid=870924
Comment:
    Paquete de materiales</t>
      </text>
    </comment>
    <comment ref="F22" authorId="14" shapeId="0" xr:uid="{6FD53488-3D56-43DE-B53C-061FC572AB92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Sedes</t>
      </text>
    </comment>
    <comment ref="E24" authorId="15" shapeId="0" xr:uid="{3025CB6D-31DF-45D7-8CDB-61018098D64F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Horas</t>
      </text>
    </comment>
    <comment ref="F24" authorId="16" shapeId="0" xr:uid="{51D0CE77-2DD7-4942-9C03-6A807D6F6C05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Sedes</t>
      </text>
    </comment>
    <comment ref="E25" authorId="17" shapeId="0" xr:uid="{E4E4D818-BFF1-450E-966F-34C09D7798C5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Visitas</t>
      </text>
    </comment>
    <comment ref="E26" authorId="18" shapeId="0" xr:uid="{7C916B2A-B9E5-482E-8569-D673106F9CDA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Visitas</t>
      </text>
    </comment>
    <comment ref="E27" authorId="19" shapeId="0" xr:uid="{3764F15B-BB9C-4EAC-B5C2-F7FC8D53900E}">
      <text>
        <t>[Threaded comment]
Your version of Excel allows you to read this threaded comment; however, any edits to it will get removed if the file is opened in a newer version of Excel. Learn more: https://go.microsoft.com/fwlink/?linkid=870924
Comment:
    Rueda de Negocios por Sede</t>
      </text>
    </comment>
    <comment ref="F27" authorId="20" shapeId="0" xr:uid="{C52B1A8E-00F3-45AA-AEA0-D6636017E4EA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Sedes</t>
      </text>
    </comment>
    <comment ref="F28" authorId="21" shapeId="0" xr:uid="{49CE9779-77B4-4959-8B3F-7D04FC2867F8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Sedes, se contemplan dotaciones hasta por $160.000.000 para cada sede</t>
      </text>
    </comment>
    <comment ref="E30" authorId="22" shapeId="0" xr:uid="{A83A27CA-E166-4956-91B4-F2D02E69FFB7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Visitas</t>
      </text>
    </comment>
    <comment ref="E31" authorId="23" shapeId="0" xr:uid="{E0FA4676-171D-4CC0-AA6F-999A6FB1C1F4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Visitas</t>
      </text>
    </comment>
    <comment ref="E33" authorId="24" shapeId="0" xr:uid="{5BC2B681-DB8D-4162-9A32-9A211476C47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 de Personas </t>
      </text>
    </comment>
    <comment ref="F33" authorId="25" shapeId="0" xr:uid="{0DF2DBC0-CE47-4275-876A-6D8C853D3723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días</t>
      </text>
    </comment>
    <comment ref="E34" authorId="26" shapeId="0" xr:uid="{F94E9C46-F18F-4B4D-A387-C18B42D7571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 de Personas </t>
      </text>
    </comment>
    <comment ref="F34" authorId="27" shapeId="0" xr:uid="{AAD83A08-CCAB-46FB-B510-D46019A3C282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Visitas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tc={01959DC7-0DA4-4318-AD86-0E339D0E0308}</author>
    <author>tc={018602E9-06D3-4345-A269-870B52F84376}</author>
    <author>tc={0F3F71F4-9C2B-460A-BF35-08B83497CD85}</author>
    <author>tc={0C84B449-0B1A-4F69-AED7-380B9D2669D6}</author>
    <author>tc={60B2E99C-3AB8-46BD-A2DA-0FB42A4FF5E3}</author>
    <author>tc={AA4A5888-EA82-4CAD-AFFA-98DDF90D982B}</author>
    <author>tc={4A55F71E-FF77-46B4-A68B-D2320829F2B7}</author>
    <author>tc={8B9589BE-89B0-4450-A553-0E8392FBC5B2}</author>
    <author>tc={5D2983B1-A300-4CB8-B367-7077D028803D}</author>
    <author>tc={364DD27A-97A5-4603-AA14-75EC01185A45}</author>
    <author>tc={2EAF1F0B-8C5F-4CE8-9997-DDB3F1B58910}</author>
    <author>tc={13437B55-44B5-4AEB-99D9-5CA834D0D165}</author>
    <author>tc={16EF69DA-648B-41F9-81AF-1D63EE3FCFA5}</author>
    <author>tc={ED198E73-80D7-408A-9083-795334F54917}</author>
    <author>tc={4BA18576-CB5B-4CC7-B7EB-B1177EE1E7F2}</author>
    <author>tc={6B73F9F4-D8CB-494D-B1ED-AB0B343BDAC4}</author>
    <author>tc={30507D57-9D83-4DE9-9D26-E11D98FD388D}</author>
    <author>tc={6916D82E-3674-402B-A7E4-18448EA02A64}</author>
    <author>tc={AFAC99A0-8FFB-45F5-813D-4118125E1C43}</author>
    <author>tc={357A0F43-AD02-497B-A3D3-8463892787B3}</author>
    <author>tc={F84B20B8-AE43-45F1-9753-EC20839A134D}</author>
    <author>tc={55B926E6-C257-4A85-8FD2-298ABBFE9966}</author>
    <author>tc={A4D81F73-1CFD-464A-83CE-90C84CB94BF7}</author>
    <author>tc={5BEB5A39-CFD5-4497-BC02-02CE0270E6E8}</author>
    <author>tc={4D094572-9B43-4349-B962-9C047D58EF5C}</author>
    <author>tc={22BE3EAC-867B-4FE4-9A57-31A2E35F21A2}</author>
    <author>tc={5407E34E-B016-4617-BB9D-A4DA8123105A}</author>
    <author>tc={BD76F92C-4259-4E95-A808-5943EF7A5297}</author>
  </authors>
  <commentList>
    <comment ref="E13" authorId="0" shapeId="0" xr:uid="{01959DC7-0DA4-4318-AD86-0E339D0E0308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Encuentros</t>
      </text>
    </comment>
    <comment ref="F13" authorId="1" shapeId="0" xr:uid="{018602E9-06D3-4345-A269-870B52F84376}">
      <text>
        <t>[Threaded comment]
Your version of Excel allows you to read this threaded comment; however, any edits to it will get removed if the file is opened in a newer version of Excel. Learn more: https://go.microsoft.com/fwlink/?linkid=870924
Comment:
    Número de sedes</t>
      </text>
    </comment>
    <comment ref="E14" authorId="2" shapeId="0" xr:uid="{0F3F71F4-9C2B-460A-BF35-08B83497CD85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Transportes terrestres</t>
      </text>
    </comment>
    <comment ref="E16" authorId="3" shapeId="0" xr:uid="{0C84B449-0B1A-4F69-AED7-380B9D2669D6}">
      <text>
        <t>[Threaded comment]
Your version of Excel allows you to read this threaded comment; however, any edits to it will get removed if the file is opened in a newer version of Excel. Learn more: https://go.microsoft.com/fwlink/?linkid=870924
Comment:
    Número Total de Visitas</t>
      </text>
    </comment>
    <comment ref="F16" authorId="4" shapeId="0" xr:uid="{60B2E99C-3AB8-46BD-A2DA-0FB42A4FF5E3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Profesionales</t>
      </text>
    </comment>
    <comment ref="E17" authorId="5" shapeId="0" xr:uid="{AA4A5888-EA82-4CAD-AFFA-98DDF90D982B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personas asistentes (# de refrigerios requeridos)</t>
      </text>
    </comment>
    <comment ref="F17" authorId="6" shapeId="0" xr:uid="{4A55F71E-FF77-46B4-A68B-D2320829F2B7}">
      <text>
        <t>[Threaded comment]
Your version of Excel allows you to read this threaded comment; however, any edits to it will get removed if the file is opened in a newer version of Excel. Learn more: https://go.microsoft.com/fwlink/?linkid=870924
Comment:
    No. de encuentros</t>
      </text>
    </comment>
    <comment ref="E18" authorId="7" shapeId="0" xr:uid="{8B9589BE-89B0-4450-A553-0E8392FBC5B2}">
      <text>
        <t>[Threaded comment]
Your version of Excel allows you to read this threaded comment; however, any edits to it will get removed if the file is opened in a newer version of Excel. Learn more: https://go.microsoft.com/fwlink/?linkid=870924
Comment:
    Horas en total proyecto</t>
      </text>
    </comment>
    <comment ref="E19" authorId="8" shapeId="0" xr:uid="{5D2983B1-A300-4CB8-B367-7077D028803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24 días de viáticos* (12 por persona), 20 sedes
</t>
      </text>
    </comment>
    <comment ref="F19" authorId="9" shapeId="0" xr:uid="{364DD27A-97A5-4603-AA14-75EC01185A45}">
      <text>
        <t>[Threaded comment]
Your version of Excel allows you to read this threaded comment; however, any edits to it will get removed if the file is opened in a newer version of Excel. Learn more: https://go.microsoft.com/fwlink/?linkid=870924
Comment:
    Número de sedes</t>
      </text>
    </comment>
    <comment ref="E20" authorId="10" shapeId="0" xr:uid="{2EAF1F0B-8C5F-4CE8-9997-DDB3F1B58910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Visitas (# de transportes terrestres)</t>
      </text>
    </comment>
    <comment ref="F20" authorId="11" shapeId="0" xr:uid="{13437B55-44B5-4AEB-99D9-5CA834D0D165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personas</t>
      </text>
    </comment>
    <comment ref="E21" authorId="12" shapeId="0" xr:uid="{16EF69DA-648B-41F9-81AF-1D63EE3FCFA5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Certificados</t>
      </text>
    </comment>
    <comment ref="E22" authorId="13" shapeId="0" xr:uid="{ED198E73-80D7-408A-9083-795334F54917}">
      <text>
        <t>[Threaded comment]
Your version of Excel allows you to read this threaded comment; however, any edits to it will get removed if the file is opened in a newer version of Excel. Learn more: https://go.microsoft.com/fwlink/?linkid=870924
Comment:
    Paquete de materiales</t>
      </text>
    </comment>
    <comment ref="F22" authorId="14" shapeId="0" xr:uid="{4BA18576-CB5B-4CC7-B7EB-B1177EE1E7F2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Sedes</t>
      </text>
    </comment>
    <comment ref="E24" authorId="15" shapeId="0" xr:uid="{6B73F9F4-D8CB-494D-B1ED-AB0B343BDAC4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Horas</t>
      </text>
    </comment>
    <comment ref="F24" authorId="16" shapeId="0" xr:uid="{30507D57-9D83-4DE9-9D26-E11D98FD388D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Sedes</t>
      </text>
    </comment>
    <comment ref="E25" authorId="17" shapeId="0" xr:uid="{6916D82E-3674-402B-A7E4-18448EA02A64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Visitas</t>
      </text>
    </comment>
    <comment ref="E26" authorId="18" shapeId="0" xr:uid="{AFAC99A0-8FFB-45F5-813D-4118125E1C43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Visitas</t>
      </text>
    </comment>
    <comment ref="E27" authorId="19" shapeId="0" xr:uid="{357A0F43-AD02-497B-A3D3-8463892787B3}">
      <text>
        <t>[Threaded comment]
Your version of Excel allows you to read this threaded comment; however, any edits to it will get removed if the file is opened in a newer version of Excel. Learn more: https://go.microsoft.com/fwlink/?linkid=870924
Comment:
    Rueda de Negocios por Sede</t>
      </text>
    </comment>
    <comment ref="F27" authorId="20" shapeId="0" xr:uid="{F84B20B8-AE43-45F1-9753-EC20839A134D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Sedes</t>
      </text>
    </comment>
    <comment ref="F28" authorId="21" shapeId="0" xr:uid="{55B926E6-C257-4A85-8FD2-298ABBFE9966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Sedes, se contemplan dotaciones hasta por $160.000.000 para cada sede</t>
      </text>
    </comment>
    <comment ref="E30" authorId="22" shapeId="0" xr:uid="{A4D81F73-1CFD-464A-83CE-90C84CB94BF7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Visitas</t>
      </text>
    </comment>
    <comment ref="E31" authorId="23" shapeId="0" xr:uid="{5BEB5A39-CFD5-4497-BC02-02CE0270E6E8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Visitas</t>
      </text>
    </comment>
    <comment ref="E33" authorId="24" shapeId="0" xr:uid="{4D094572-9B43-4349-B962-9C047D58EF5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 de Personas </t>
      </text>
    </comment>
    <comment ref="F33" authorId="25" shapeId="0" xr:uid="{22BE3EAC-867B-4FE4-9A57-31A2E35F21A2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días</t>
      </text>
    </comment>
    <comment ref="E34" authorId="26" shapeId="0" xr:uid="{5407E34E-B016-4617-BB9D-A4DA8123105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 de Personas </t>
      </text>
    </comment>
    <comment ref="F34" authorId="27" shapeId="0" xr:uid="{BD76F92C-4259-4E95-A808-5943EF7A5297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Visitas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tc={CBFE31B2-CA7E-46B2-8877-EC021D710DF5}</author>
    <author>tc={45036EA3-DF88-4C49-9E1E-F2DF53F9378E}</author>
    <author>tc={41CD3897-645A-4256-9A65-4D805BC18BD9}</author>
    <author>tc={2DBD6649-81EC-43D1-ACB4-50436D4F0295}</author>
    <author>tc={73BFD6A5-4477-4EDF-A60A-64E9464E271A}</author>
    <author>tc={4CAD05B1-5C11-4E64-9FEA-EA79E39B4FAD}</author>
    <author>tc={2AE9229E-8EB2-427C-9CCD-8B19262B0EAE}</author>
    <author>tc={6F9BF4C0-4798-45E7-802F-CB0C59B371F3}</author>
    <author>tc={C019FDE4-5E96-4773-A896-0402F4F1B18C}</author>
    <author>tc={6A881C5F-202C-4B95-8ECE-D5DA500C83A7}</author>
    <author>tc={184951F8-97D0-4877-8ED0-C431A2B3014F}</author>
    <author>tc={12D5C31C-B317-4A51-B528-D7052B1DDC4C}</author>
    <author>tc={A053F96B-541E-4E37-AC57-B1BB6CCCD7E9}</author>
    <author>tc={4F46942C-AF85-447D-AD9D-39FDE908E127}</author>
    <author>tc={4E797809-0A9E-488E-9115-A4DE716C5230}</author>
    <author>tc={2996782A-112C-44F3-B0F6-AA009F09D0E4}</author>
    <author>tc={300ECCF6-BC99-4A22-A668-9B3949D9A2B5}</author>
    <author>tc={800D3F42-8357-4474-82DF-C2DAE054B5A5}</author>
    <author>tc={EB4C5BC0-340D-4D3E-AD51-E945C90BE2EB}</author>
    <author>tc={BA46DFD6-85E2-4C49-A84C-599C2648CA36}</author>
    <author>tc={ACA5BA43-738A-4641-A526-085FB203E691}</author>
    <author>tc={E989CB8D-F789-4E60-80FB-D2488AA8AFEB}</author>
    <author>tc={D86FDB34-93CD-4750-8E9A-B727B42C2623}</author>
    <author>tc={79AF073A-B233-4495-A958-A5751B2033A9}</author>
    <author>tc={F6D8922E-2041-4C77-AF9C-E3E566EC92CD}</author>
    <author>tc={98F892D3-73D3-43E9-A489-90874A09DD50}</author>
    <author>tc={53E0AFA3-DEE4-488B-A714-8C0B18AA6252}</author>
    <author>tc={FAB227DC-6A56-4404-A013-71FC5A726AE5}</author>
  </authors>
  <commentList>
    <comment ref="E13" authorId="0" shapeId="0" xr:uid="{CBFE31B2-CA7E-46B2-8877-EC021D710DF5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Encuentros</t>
      </text>
    </comment>
    <comment ref="F13" authorId="1" shapeId="0" xr:uid="{45036EA3-DF88-4C49-9E1E-F2DF53F9378E}">
      <text>
        <t>[Threaded comment]
Your version of Excel allows you to read this threaded comment; however, any edits to it will get removed if the file is opened in a newer version of Excel. Learn more: https://go.microsoft.com/fwlink/?linkid=870924
Comment:
    Número de sedes</t>
      </text>
    </comment>
    <comment ref="E14" authorId="2" shapeId="0" xr:uid="{41CD3897-645A-4256-9A65-4D805BC18BD9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Transportes terrestres</t>
      </text>
    </comment>
    <comment ref="E16" authorId="3" shapeId="0" xr:uid="{2DBD6649-81EC-43D1-ACB4-50436D4F0295}">
      <text>
        <t>[Threaded comment]
Your version of Excel allows you to read this threaded comment; however, any edits to it will get removed if the file is opened in a newer version of Excel. Learn more: https://go.microsoft.com/fwlink/?linkid=870924
Comment:
    Número Total de Visitas</t>
      </text>
    </comment>
    <comment ref="F16" authorId="4" shapeId="0" xr:uid="{73BFD6A5-4477-4EDF-A60A-64E9464E271A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Profesionales</t>
      </text>
    </comment>
    <comment ref="E17" authorId="5" shapeId="0" xr:uid="{4CAD05B1-5C11-4E64-9FEA-EA79E39B4FAD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personas asistentes (# de refrigerios requeridos)</t>
      </text>
    </comment>
    <comment ref="F17" authorId="6" shapeId="0" xr:uid="{2AE9229E-8EB2-427C-9CCD-8B19262B0EAE}">
      <text>
        <t>[Threaded comment]
Your version of Excel allows you to read this threaded comment; however, any edits to it will get removed if the file is opened in a newer version of Excel. Learn more: https://go.microsoft.com/fwlink/?linkid=870924
Comment:
    No. de encuentros</t>
      </text>
    </comment>
    <comment ref="E18" authorId="7" shapeId="0" xr:uid="{6F9BF4C0-4798-45E7-802F-CB0C59B371F3}">
      <text>
        <t>[Threaded comment]
Your version of Excel allows you to read this threaded comment; however, any edits to it will get removed if the file is opened in a newer version of Excel. Learn more: https://go.microsoft.com/fwlink/?linkid=870924
Comment:
    Horas en total proyecto</t>
      </text>
    </comment>
    <comment ref="E19" authorId="8" shapeId="0" xr:uid="{C019FDE4-5E96-4773-A896-0402F4F1B18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24 días de viáticos* (12 por persona), 20 sedes
</t>
      </text>
    </comment>
    <comment ref="F19" authorId="9" shapeId="0" xr:uid="{6A881C5F-202C-4B95-8ECE-D5DA500C83A7}">
      <text>
        <t>[Threaded comment]
Your version of Excel allows you to read this threaded comment; however, any edits to it will get removed if the file is opened in a newer version of Excel. Learn more: https://go.microsoft.com/fwlink/?linkid=870924
Comment:
    Número de sedes</t>
      </text>
    </comment>
    <comment ref="E20" authorId="10" shapeId="0" xr:uid="{184951F8-97D0-4877-8ED0-C431A2B3014F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Visitas (# de transportes terrestres)</t>
      </text>
    </comment>
    <comment ref="F20" authorId="11" shapeId="0" xr:uid="{12D5C31C-B317-4A51-B528-D7052B1DDC4C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personas</t>
      </text>
    </comment>
    <comment ref="E21" authorId="12" shapeId="0" xr:uid="{A053F96B-541E-4E37-AC57-B1BB6CCCD7E9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Certificados</t>
      </text>
    </comment>
    <comment ref="E22" authorId="13" shapeId="0" xr:uid="{4F46942C-AF85-447D-AD9D-39FDE908E127}">
      <text>
        <t>[Threaded comment]
Your version of Excel allows you to read this threaded comment; however, any edits to it will get removed if the file is opened in a newer version of Excel. Learn more: https://go.microsoft.com/fwlink/?linkid=870924
Comment:
    Paquete de materiales</t>
      </text>
    </comment>
    <comment ref="F22" authorId="14" shapeId="0" xr:uid="{4E797809-0A9E-488E-9115-A4DE716C5230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Sedes</t>
      </text>
    </comment>
    <comment ref="E24" authorId="15" shapeId="0" xr:uid="{2996782A-112C-44F3-B0F6-AA009F09D0E4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Horas</t>
      </text>
    </comment>
    <comment ref="F24" authorId="16" shapeId="0" xr:uid="{300ECCF6-BC99-4A22-A668-9B3949D9A2B5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Sedes</t>
      </text>
    </comment>
    <comment ref="E25" authorId="17" shapeId="0" xr:uid="{800D3F42-8357-4474-82DF-C2DAE054B5A5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Visitas</t>
      </text>
    </comment>
    <comment ref="E26" authorId="18" shapeId="0" xr:uid="{EB4C5BC0-340D-4D3E-AD51-E945C90BE2EB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Visitas</t>
      </text>
    </comment>
    <comment ref="E27" authorId="19" shapeId="0" xr:uid="{BA46DFD6-85E2-4C49-A84C-599C2648CA36}">
      <text>
        <t>[Threaded comment]
Your version of Excel allows you to read this threaded comment; however, any edits to it will get removed if the file is opened in a newer version of Excel. Learn more: https://go.microsoft.com/fwlink/?linkid=870924
Comment:
    Rueda de Negocios por Sede</t>
      </text>
    </comment>
    <comment ref="F27" authorId="20" shapeId="0" xr:uid="{ACA5BA43-738A-4641-A526-085FB203E691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Sedes</t>
      </text>
    </comment>
    <comment ref="F28" authorId="21" shapeId="0" xr:uid="{E989CB8D-F789-4E60-80FB-D2488AA8AFEB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Sedes, se contemplan dotaciones hasta por $160.000.000 para cada sede</t>
      </text>
    </comment>
    <comment ref="E30" authorId="22" shapeId="0" xr:uid="{D86FDB34-93CD-4750-8E9A-B727B42C2623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Visitas</t>
      </text>
    </comment>
    <comment ref="E31" authorId="23" shapeId="0" xr:uid="{79AF073A-B233-4495-A958-A5751B2033A9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Visitas</t>
      </text>
    </comment>
    <comment ref="E33" authorId="24" shapeId="0" xr:uid="{F6D8922E-2041-4C77-AF9C-E3E566EC92C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 de Personas </t>
      </text>
    </comment>
    <comment ref="F33" authorId="25" shapeId="0" xr:uid="{98F892D3-73D3-43E9-A489-90874A09DD50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días</t>
      </text>
    </comment>
    <comment ref="E34" authorId="26" shapeId="0" xr:uid="{53E0AFA3-DEE4-488B-A714-8C0B18AA625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 de Personas </t>
      </text>
    </comment>
    <comment ref="F34" authorId="27" shapeId="0" xr:uid="{FAB227DC-6A56-4404-A013-71FC5A726AE5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Visitas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tc={29655B7A-FEAC-4CF7-A2E0-E395B3A277CF}</author>
    <author>tc={88BBD3A6-19FF-4DCD-A6A0-FC2D0BD692BE}</author>
    <author>tc={51889E8A-3F31-48B3-9D5C-8B48C1AB047C}</author>
    <author>tc={C035E8EB-1B81-40CA-BF55-18CCB761312B}</author>
    <author>tc={51E0CFD1-24A4-45CD-8728-DB70A84BB330}</author>
    <author>tc={5A144507-098A-44AB-9136-600574A7FA4C}</author>
    <author>tc={6E92F111-61E0-4696-805A-BEDC5CA7FD85}</author>
    <author>tc={14154376-7357-44A6-AF79-72C19AD7F228}</author>
    <author>tc={8CE7312D-F58B-4F5C-8DA6-A3EBAEEFB689}</author>
    <author>tc={63A874A7-40D6-4B36-9326-9F6ED3891CBB}</author>
    <author>tc={A7EE753A-46CD-4993-BF3B-433BF122BADE}</author>
    <author>tc={E7B54C45-D199-40C6-814D-5F0A43D6A565}</author>
    <author>tc={2C82CAD8-1917-42C5-A93E-870AC2F4C268}</author>
    <author>tc={0FF031DB-96A4-43FB-AA32-454D862DF7CA}</author>
    <author>tc={0641C930-2FDC-4C29-9524-871DCA4291BA}</author>
    <author>tc={3C40679F-4367-4D54-A21D-C3C2A36F9380}</author>
    <author>tc={D50E626C-37D3-4420-9060-13B9D3A54B58}</author>
    <author>tc={E93A00E4-47D1-485F-B17B-022EFD33DA47}</author>
    <author>tc={019CEE8F-83E6-4534-910E-DAB629CEB343}</author>
    <author>tc={80BC3F71-9FA1-4296-9915-78B6F53E619A}</author>
    <author>tc={5F89353B-2CA5-4A4D-85BA-7EC2BABAB80C}</author>
    <author>tc={EA8B1064-C01D-4415-9B2A-88B8C3A4A0DD}</author>
    <author>tc={AE604E92-BAE1-4B50-B1F3-DA8ED5EB9A17}</author>
    <author>tc={22EDE3C7-AA12-4902-B7A4-465FDCE7F0DE}</author>
    <author>tc={22EB460D-CC54-4102-928A-1AD6FEC75F1B}</author>
    <author>tc={22ECFAAB-5560-4A9D-8831-8301356669F7}</author>
    <author>tc={67A8864F-2832-415E-B619-AF526F40201A}</author>
  </authors>
  <commentList>
    <comment ref="E13" authorId="0" shapeId="0" xr:uid="{29655B7A-FEAC-4CF7-A2E0-E395B3A277CF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Encuentros</t>
      </text>
    </comment>
    <comment ref="F13" authorId="1" shapeId="0" xr:uid="{88BBD3A6-19FF-4DCD-A6A0-FC2D0BD692BE}">
      <text>
        <t>[Threaded comment]
Your version of Excel allows you to read this threaded comment; however, any edits to it will get removed if the file is opened in a newer version of Excel. Learn more: https://go.microsoft.com/fwlink/?linkid=870924
Comment:
    Número de sedes</t>
      </text>
    </comment>
    <comment ref="E14" authorId="2" shapeId="0" xr:uid="{51889E8A-3F31-48B3-9D5C-8B48C1AB047C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Transportes terrestres</t>
      </text>
    </comment>
    <comment ref="E16" authorId="3" shapeId="0" xr:uid="{C035E8EB-1B81-40CA-BF55-18CCB761312B}">
      <text>
        <t>[Threaded comment]
Your version of Excel allows you to read this threaded comment; however, any edits to it will get removed if the file is opened in a newer version of Excel. Learn more: https://go.microsoft.com/fwlink/?linkid=870924
Comment:
    Número Total de Visitas</t>
      </text>
    </comment>
    <comment ref="F16" authorId="4" shapeId="0" xr:uid="{51E0CFD1-24A4-45CD-8728-DB70A84BB330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Profesionales</t>
      </text>
    </comment>
    <comment ref="E17" authorId="5" shapeId="0" xr:uid="{5A144507-098A-44AB-9136-600574A7FA4C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personas asistentes (# de refrigerios requeridos)</t>
      </text>
    </comment>
    <comment ref="F17" authorId="6" shapeId="0" xr:uid="{6E92F111-61E0-4696-805A-BEDC5CA7FD85}">
      <text>
        <t>[Threaded comment]
Your version of Excel allows you to read this threaded comment; however, any edits to it will get removed if the file is opened in a newer version of Excel. Learn more: https://go.microsoft.com/fwlink/?linkid=870924
Comment:
    No. de encuentros</t>
      </text>
    </comment>
    <comment ref="E18" authorId="7" shapeId="0" xr:uid="{14154376-7357-44A6-AF79-72C19AD7F22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24 días de viáticos* (12 por persona), 20 sedes
</t>
      </text>
    </comment>
    <comment ref="F18" authorId="8" shapeId="0" xr:uid="{8CE7312D-F58B-4F5C-8DA6-A3EBAEEFB689}">
      <text>
        <t>[Threaded comment]
Your version of Excel allows you to read this threaded comment; however, any edits to it will get removed if the file is opened in a newer version of Excel. Learn more: https://go.microsoft.com/fwlink/?linkid=870924
Comment:
    Número de sedes</t>
      </text>
    </comment>
    <comment ref="E19" authorId="9" shapeId="0" xr:uid="{63A874A7-40D6-4B36-9326-9F6ED3891CBB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Visitas (# de transportes terrestres)</t>
      </text>
    </comment>
    <comment ref="F19" authorId="10" shapeId="0" xr:uid="{A7EE753A-46CD-4993-BF3B-433BF122BADE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personas</t>
      </text>
    </comment>
    <comment ref="E20" authorId="11" shapeId="0" xr:uid="{E7B54C45-D199-40C6-814D-5F0A43D6A565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Certificados</t>
      </text>
    </comment>
    <comment ref="E21" authorId="12" shapeId="0" xr:uid="{2C82CAD8-1917-42C5-A93E-870AC2F4C268}">
      <text>
        <t>[Threaded comment]
Your version of Excel allows you to read this threaded comment; however, any edits to it will get removed if the file is opened in a newer version of Excel. Learn more: https://go.microsoft.com/fwlink/?linkid=870924
Comment:
    Paquete de materiales</t>
      </text>
    </comment>
    <comment ref="F21" authorId="13" shapeId="0" xr:uid="{0FF031DB-96A4-43FB-AA32-454D862DF7CA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Sedes</t>
      </text>
    </comment>
    <comment ref="E23" authorId="14" shapeId="0" xr:uid="{0641C930-2FDC-4C29-9524-871DCA4291BA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Horas</t>
      </text>
    </comment>
    <comment ref="F23" authorId="15" shapeId="0" xr:uid="{3C40679F-4367-4D54-A21D-C3C2A36F9380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Sedes</t>
      </text>
    </comment>
    <comment ref="E24" authorId="16" shapeId="0" xr:uid="{D50E626C-37D3-4420-9060-13B9D3A54B58}">
      <text>
        <t>[Threaded comment]
Your version of Excel allows you to read this threaded comment; however, any edits to it will get removed if the file is opened in a newer version of Excel. Learn more: https://go.microsoft.com/fwlink/?linkid=870924
Comment:
    Rueda de Negocios por Sede</t>
      </text>
    </comment>
    <comment ref="F24" authorId="17" shapeId="0" xr:uid="{E93A00E4-47D1-485F-B17B-022EFD33DA47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Sedes</t>
      </text>
    </comment>
    <comment ref="F25" authorId="18" shapeId="0" xr:uid="{019CEE8F-83E6-4534-910E-DAB629CEB343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Sedes, se contemplan dotaciones hasta por $160.000.000 para cada sede</t>
      </text>
    </comment>
    <comment ref="E27" authorId="19" shapeId="0" xr:uid="{80BC3F71-9FA1-4296-9915-78B6F53E619A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Visitas</t>
      </text>
    </comment>
    <comment ref="F27" authorId="20" shapeId="0" xr:uid="{5F89353B-2CA5-4A4D-85BA-7EC2BABAB80C}">
      <text>
        <t>[Threaded comment]
Your version of Excel allows you to read this threaded comment; however, any edits to it will get removed if the file is opened in a newer version of Excel. Learn more: https://go.microsoft.com/fwlink/?linkid=870924
Comment:
    Número de sistematizadores</t>
      </text>
    </comment>
    <comment ref="E28" authorId="21" shapeId="0" xr:uid="{EA8B1064-C01D-4415-9B2A-88B8C3A4A0DD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Visitas</t>
      </text>
    </comment>
    <comment ref="F28" authorId="22" shapeId="0" xr:uid="{AE604E92-BAE1-4B50-B1F3-DA8ED5EB9A17}">
      <text>
        <t>[Threaded comment]
Your version of Excel allows you to read this threaded comment; however, any edits to it will get removed if the file is opened in a newer version of Excel. Learn more: https://go.microsoft.com/fwlink/?linkid=870924
Comment:
    Número de sistematizadores</t>
      </text>
    </comment>
    <comment ref="E30" authorId="23" shapeId="0" xr:uid="{22EDE3C7-AA12-4902-B7A4-465FDCE7F0D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 de Personas </t>
      </text>
    </comment>
    <comment ref="F30" authorId="24" shapeId="0" xr:uid="{22EB460D-CC54-4102-928A-1AD6FEC75F1B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días</t>
      </text>
    </comment>
    <comment ref="E31" authorId="25" shapeId="0" xr:uid="{22ECFAAB-5560-4A9D-8831-8301356669F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 de Personas </t>
      </text>
    </comment>
    <comment ref="F31" authorId="26" shapeId="0" xr:uid="{67A8864F-2832-415E-B619-AF526F40201A}">
      <text>
        <t>[Threaded comment]
Your version of Excel allows you to read this threaded comment; however, any edits to it will get removed if the file is opened in a newer version of Excel. Learn more: https://go.microsoft.com/fwlink/?linkid=870924
Comment:
    No de Visitas</t>
      </text>
    </comment>
  </commentList>
</comments>
</file>

<file path=xl/sharedStrings.xml><?xml version="1.0" encoding="utf-8"?>
<sst xmlns="http://schemas.openxmlformats.org/spreadsheetml/2006/main" count="494" uniqueCount="216">
  <si>
    <t xml:space="preserve">EQUIPO DE TRABAJO PARA EL DESARROLLO DE LAS ACCIONES EN TERRITORIO </t>
  </si>
  <si>
    <t>Rubro</t>
  </si>
  <si>
    <t>Cantidad</t>
  </si>
  <si>
    <t>Tiempo</t>
  </si>
  <si>
    <t>Valor</t>
  </si>
  <si>
    <t xml:space="preserve">TOTAL </t>
  </si>
  <si>
    <t xml:space="preserve">Este costo es el costo unitario para atender 60 sedes educativas </t>
  </si>
  <si>
    <t>Talento Humano Mínimo Requerido</t>
  </si>
  <si>
    <t xml:space="preserve">meta: 120 sedes </t>
  </si>
  <si>
    <t>GERENTE DEL PROYECTO</t>
  </si>
  <si>
    <t xml:space="preserve">6400 millones disponibles </t>
  </si>
  <si>
    <t>COORDINADOR TÉCNICO Y ADMINISTRATIVO</t>
  </si>
  <si>
    <t>PROFESIONALES ÉNFASIS RURALES- AGROPECUARIOS</t>
  </si>
  <si>
    <t xml:space="preserve">5 meses 60 sedes </t>
  </si>
  <si>
    <t xml:space="preserve">PROFESIONAL SISTEMATIZACIÓN </t>
  </si>
  <si>
    <t>PROFESIONALAPOYO COLECTIVOS DE PARTICIPACIÓN</t>
  </si>
  <si>
    <t xml:space="preserve">PROFESIONALES PEDAGÓGICOS </t>
  </si>
  <si>
    <t>Total Talento Humano</t>
  </si>
  <si>
    <t>Tiquetes y gastos de desplazamiento</t>
  </si>
  <si>
    <t>Transporte aereo (ida y regreso)
Desplazamiento de 3 personas x 3 veces a cada ETC.</t>
  </si>
  <si>
    <t>N/A</t>
  </si>
  <si>
    <t>40 PROFE*IDA YVUELT*2REGIONES=</t>
  </si>
  <si>
    <t>Transporte terrestre (ida y regreso)
Desplazamiento entre municipios focalizados de una misma ETC</t>
  </si>
  <si>
    <t>60EE *3 VISI*2IDA YREGRESO=</t>
  </si>
  <si>
    <t>(Visita 60EE; 4visitasxEE; 4díasxVisita (viajan el prof agro y el pedagógico)) Viáticos</t>
  </si>
  <si>
    <t>60EE; 3visitasxEE; 4díasxVisitax2Profe=</t>
  </si>
  <si>
    <t>(Visita ETCx3) Transporte aéreo (ida y regreso)</t>
  </si>
  <si>
    <t>(Visita ETCx3) Transporte terrestre o fluvial</t>
  </si>
  <si>
    <t xml:space="preserve">Refrigerios  de encuentros de trabajo con Sedes Educativas en el marco de los procesos de formación y acompañamiento (cuando sea necesario según metodología planteada). El proyecto proporcionará 320 refrigerios por sede educativa que se deberán distribuir en los tres ciclos de acompañamiento </t>
  </si>
  <si>
    <t>Espacios diálogos colectivos de participación. 
 3 Encuentros municipales de máximo 30 personas. Incluye espacio de reunión y refrigerios</t>
  </si>
  <si>
    <t>Total tiquetes y gastos de desplazamiento</t>
  </si>
  <si>
    <t xml:space="preserve">Total Dotación y materiales </t>
  </si>
  <si>
    <t xml:space="preserve">Apoyo Proyectos Pedagógicos y materiales </t>
  </si>
  <si>
    <t xml:space="preserve">SUBTOTAL COSTOS DIRECTOS DE OPERACIÓN </t>
  </si>
  <si>
    <t xml:space="preserve">COSTOS INDIRECTOS DE OPERACIÓN </t>
  </si>
  <si>
    <t>Gastos de Administración  (Cálculo sobre los costos directos de operación)</t>
  </si>
  <si>
    <t>TOTAL COSTOS INDIRECTOS DE OPERACIÓN</t>
  </si>
  <si>
    <t xml:space="preserve">TOTAL COSTO 60 SEDES </t>
  </si>
  <si>
    <t>Recursos BID</t>
  </si>
  <si>
    <t>COSTOS 2 CONVOCATORIAS (120 SEDES ATENDIDAS)</t>
  </si>
  <si>
    <t>Costo de administración ICETEX (2%) giro</t>
  </si>
  <si>
    <t>Costo de administración ICETEX (2%) anual</t>
  </si>
  <si>
    <t>VALOR DE LA ADICIÓN RECURSOS BID</t>
  </si>
  <si>
    <t xml:space="preserve">VALOR TOTAL DE LA ADICIÓN Asistencia Técnica </t>
  </si>
  <si>
    <t>Gastos de Administración Icetex (2% Anual) (2% giro)</t>
  </si>
  <si>
    <t>VALOR DE LA CONVOCATORIA</t>
  </si>
  <si>
    <t xml:space="preserve">Número de Estudiantes </t>
  </si>
  <si>
    <t>ESTUDIANTES CON % ICETEX</t>
  </si>
  <si>
    <t xml:space="preserve">Número de Establecimientos Educativos </t>
  </si>
  <si>
    <t>Costo por establecimiento Educativo*</t>
  </si>
  <si>
    <t>EDUCACIÓN RURAL PARA EL DESARROLLO PRODUCTIVO TERRITORIAL  EN MANOS CAMPESINAS, ÉTNICAS Y POPULARES: 
UNA APUESTA POR LA REFORMA AGRARIA Y LA PAZ TERRITORIAL</t>
  </si>
  <si>
    <t>OBJETO</t>
  </si>
  <si>
    <t>EJE ESTRATÉGICO</t>
  </si>
  <si>
    <t>ITEM</t>
  </si>
  <si>
    <t>RUBRO</t>
  </si>
  <si>
    <t>DESCRIPCIÓN</t>
  </si>
  <si>
    <t>CANTIDAD
(HORAS/NÚMERO)</t>
  </si>
  <si>
    <t>MESES</t>
  </si>
  <si>
    <t>VALOR UNITARIO 2025</t>
  </si>
  <si>
    <t>VALOR TOTAL</t>
  </si>
  <si>
    <t>TALENTO HUMANO</t>
  </si>
  <si>
    <t>Coordinador de Proyectos</t>
  </si>
  <si>
    <t>Profesional en administración, ciencias económicas, áreas administrativas o financieras
Título de posgrado en ciencias de la educación o ciencias sociales y humanas o áreas relacionadas con el desarrollo rural.  En caso de no contar con título de posgrado se deben certificar veinticuatro (24) meses de experiencia adicional a la experiencia relacionada.</t>
  </si>
  <si>
    <t>Coordinador Técnico y Administrativo</t>
  </si>
  <si>
    <t>Profesional en áreas administrativas o económicas o financiera o de ciencias del derecho, sociales, políticas o  humanas o ingeniería o áreas de la educación.
Título de posgrado en temas sociales y/o educación. En caso de no contar con título de posgrado se tendrá como equivalencia dos (2) años de experiencia adicional, siempre y cuando esa experiencia sea afín con el objeto de la contratación.</t>
  </si>
  <si>
    <t>Profesionales técnicos para acompañamiento agropecuario</t>
  </si>
  <si>
    <r>
      <t xml:space="preserve">Profesionales en áreas relacionadas con la producción rurales como agronomía o veterinaria o zootecnia o ingeniería agropecuaria o ingeniería agroindustrial o agroecología o ingeniería agroambiental o ingeniería agroforestal o ingeniería agrícola o ingeniería de alimentos o afines
</t>
    </r>
    <r>
      <rPr>
        <u/>
        <sz val="13"/>
        <rFont val="Arial Narrow"/>
        <family val="2"/>
      </rPr>
      <t>1 profesional por 4 sedes</t>
    </r>
  </si>
  <si>
    <t>Profesional de sistematización</t>
  </si>
  <si>
    <r>
      <t xml:space="preserve">Profesional en áreas administrativas o económicas o financieras o ciencias sociales y humanas o ingeniería o áreas de la educación. 
</t>
    </r>
    <r>
      <rPr>
        <u/>
        <sz val="13"/>
        <rFont val="Arial Narrow"/>
        <family val="2"/>
      </rPr>
      <t>1 profesional por 4 sedes</t>
    </r>
  </si>
  <si>
    <t>Profesionales para apoyo en espacios de participación</t>
  </si>
  <si>
    <t xml:space="preserve">Profesional en Ciencias sociales, ciencias humanas o económicas. </t>
  </si>
  <si>
    <t xml:space="preserve">Expertos temáticos </t>
  </si>
  <si>
    <t>Expertos en temas definidos en la formación (120 horas)</t>
  </si>
  <si>
    <t>Expertos técnicos</t>
  </si>
  <si>
    <t>Expertos en los Proyectos Pedagógicos Productivos</t>
  </si>
  <si>
    <t>Profesional pedagógico</t>
  </si>
  <si>
    <t>Profesional en áreas de la educación o las Ciencias Sociales y Humanas</t>
  </si>
  <si>
    <t>SUBTOTAL 1 TALENTO HUMANO</t>
  </si>
  <si>
    <t>ESPACIOS COLECTIVOS DE PARTICIPACIÓN TERRITORIAL</t>
  </si>
  <si>
    <t>2.1</t>
  </si>
  <si>
    <t>Caracterización territorial</t>
  </si>
  <si>
    <r>
      <rPr>
        <sz val="13"/>
        <color rgb="FF000000"/>
        <rFont val="Arial Narrow"/>
        <family val="2"/>
      </rPr>
      <t xml:space="preserve">Caracterización de la escuela, actores y ecosistemas pedagógicos-productivos
</t>
    </r>
    <r>
      <rPr>
        <u/>
        <sz val="13"/>
        <color rgb="FF000000"/>
        <rFont val="Arial Narrow"/>
        <family val="2"/>
      </rPr>
      <t xml:space="preserve">1 sesión por municipio, 40 personas cada encuentro y 2 representantes del proyecto
</t>
    </r>
    <r>
      <rPr>
        <sz val="13"/>
        <color rgb="FF000000"/>
        <rFont val="Arial Narrow"/>
        <family val="2"/>
      </rPr>
      <t xml:space="preserve">
Nota: estos costos incluyen refrigerios, viáticos y logística del profesional y los asistentes
1.200.000 viáticos profesional
60.000 alimentación por persona
10.000 desplazamiento por persona</t>
    </r>
  </si>
  <si>
    <t>2.2</t>
  </si>
  <si>
    <t xml:space="preserve">Planes territoriales de Educación y Desarrollo </t>
  </si>
  <si>
    <r>
      <t xml:space="preserve">Construcción de planes territoriales de Educación y Desarrollo para el fortalecimiento del Proyecto Productivo </t>
    </r>
    <r>
      <rPr>
        <u/>
        <sz val="13"/>
        <rFont val="Arial Narrow"/>
        <family val="2"/>
      </rPr>
      <t xml:space="preserve">2 sesiones por municipio, 40 personas cada encuentro y 2 representantes del proyecto
</t>
    </r>
    <r>
      <rPr>
        <sz val="13"/>
        <rFont val="Arial Narrow"/>
        <family val="2"/>
      </rPr>
      <t xml:space="preserve">
Nota: estos costos incluyen refrigerios, viáticos y logística</t>
    </r>
  </si>
  <si>
    <t>2.3</t>
  </si>
  <si>
    <t xml:space="preserve">Incidencia y gestión territorial 
</t>
  </si>
  <si>
    <r>
      <rPr>
        <sz val="13"/>
        <color rgb="FF000000"/>
        <rFont val="Arial Narrow"/>
        <family val="2"/>
      </rPr>
      <t xml:space="preserve">Mesas territoriales con actores nacionales, departamentales, municipalesy organizaciones para generar procesos de incidencia y gestión sobre proyectos productivos 
</t>
    </r>
    <r>
      <rPr>
        <u/>
        <sz val="13"/>
        <color rgb="FF000000"/>
        <rFont val="Arial Narrow"/>
        <family val="2"/>
      </rPr>
      <t xml:space="preserve">2 sesiones  por municipio, 40 personas cada encuentro
</t>
    </r>
    <r>
      <rPr>
        <sz val="13"/>
        <color rgb="FF000000"/>
        <rFont val="Arial Narrow"/>
        <family val="2"/>
      </rPr>
      <t>Nota: estos costos incluyen refrigerios, viáticos y logística</t>
    </r>
  </si>
  <si>
    <t>2.4</t>
  </si>
  <si>
    <t xml:space="preserve">Feria/rueda de negocios
</t>
  </si>
  <si>
    <r>
      <t xml:space="preserve">Exposición de los proyectos productivos a actores institucionales, gremiales y organizaciones de diferentes escalas territoriales
</t>
    </r>
    <r>
      <rPr>
        <u/>
        <sz val="13"/>
        <rFont val="Arial Narrow"/>
        <family val="2"/>
      </rPr>
      <t xml:space="preserve">1 sesión por municipio
</t>
    </r>
    <r>
      <rPr>
        <sz val="13"/>
        <rFont val="Arial Narrow"/>
        <family val="2"/>
      </rPr>
      <t>Nota: estos costos incluyen refrigerios, viáticos y logística
Asistencia de 2 profesionales por cada sesión</t>
    </r>
  </si>
  <si>
    <t>SUBTOTAL 2 PARTICIPACIÓN TERRITORIAL</t>
  </si>
  <si>
    <t xml:space="preserve">FORTALECIMIENTO DE CAPACIDADES INSTITUCIONALES Y COMUNITARIAS </t>
  </si>
  <si>
    <t>Acompañamento a secretarías de Educación</t>
  </si>
  <si>
    <t>3 espacios de acompañamiento para socializar la estrategia, presentar avances de comunidades educativas y crear un espacio de cierre y divulgación</t>
  </si>
  <si>
    <t>Formación ampliada escuela- comunidad</t>
  </si>
  <si>
    <r>
      <t xml:space="preserve">4 ciclos formativos por escuela
- Talleres de aprendizaje técnico y tecnológico (14 horas)
- Talleres de gestión y gerencia de recursos (10 horas virtuales)
- Talleres sobre temáticas transversales (16 horas)
- Talleres de resignificación del PEI (10 horas)
</t>
    </r>
    <r>
      <rPr>
        <u/>
        <sz val="13"/>
        <rFont val="Arial Narrow"/>
        <family val="2"/>
      </rPr>
      <t xml:space="preserve">50 horas por escuela
</t>
    </r>
    <r>
      <rPr>
        <sz val="13"/>
        <rFont val="Arial Narrow"/>
        <family val="2"/>
      </rPr>
      <t xml:space="preserve">
Nota: estos costos incluyen refrigerios, viáticos y logística</t>
    </r>
  </si>
  <si>
    <t>SUBTOTAL 3 FORTALECIMIENTO DE CAPACIDADES</t>
  </si>
  <si>
    <t>OFERTAS DIVERSAS PARA RURALIDADES DIVERSAS</t>
  </si>
  <si>
    <t>4.1</t>
  </si>
  <si>
    <t xml:space="preserve">Fortalecimiento de Proyectos Pedagógicos Productivos </t>
  </si>
  <si>
    <r>
      <t xml:space="preserve">Bolsa de asistencia técnica a proyectos productivos 
</t>
    </r>
    <r>
      <rPr>
        <u/>
        <sz val="13"/>
        <rFont val="Arial Narrow"/>
        <family val="2"/>
      </rPr>
      <t xml:space="preserve">30 horas por escuela, 1 profesional por 4 sedes, realizando 6 ingresos en total, cada uno de 5 horas
</t>
    </r>
    <r>
      <rPr>
        <sz val="13"/>
        <rFont val="Arial Narrow"/>
        <family val="2"/>
      </rPr>
      <t xml:space="preserve">
Nota: estos costos incluyen refrigerios, viáticos y logística</t>
    </r>
  </si>
  <si>
    <t>4.2</t>
  </si>
  <si>
    <t>Bolsa de dotación para cada proyecto pedagógico productivo</t>
  </si>
  <si>
    <t>Dotación de infraestructura, materiales y herramientas a los proyectos pedagogicos productivos en cada escuela</t>
  </si>
  <si>
    <t xml:space="preserve">SUBTOTAL 4 OFERTAS DIVERSAS </t>
  </si>
  <si>
    <t>PRODUCCIÓN DE CONOCIMIENTO DIALÓGICO E IGUALITARIO</t>
  </si>
  <si>
    <t>5.1</t>
  </si>
  <si>
    <t>Mesas de trabajo y sistematización del proceso</t>
  </si>
  <si>
    <t>Se realizarán visitas a los encuentros programados y las escuelas para la sistematización de todo el proceso.
Nota: Los costos incluyen refrigerios, viáticos y logística</t>
  </si>
  <si>
    <t>SUBTOTAL 5 PRODUCCIÓN DE CONOCIMIENTO</t>
  </si>
  <si>
    <t>INDUCCIÓN AL OPERADOR</t>
  </si>
  <si>
    <t>6.1</t>
  </si>
  <si>
    <t>Jornada de Inducción Operador</t>
  </si>
  <si>
    <t>4 personas del equipo por 1,5 día</t>
  </si>
  <si>
    <t xml:space="preserve">SUBTOTAL 5 INDUCCIÓN </t>
  </si>
  <si>
    <t>SUBTOTAL GENERAL</t>
  </si>
  <si>
    <t>Administración y utilidad</t>
  </si>
  <si>
    <t>%</t>
  </si>
  <si>
    <t>Gastos de Administración</t>
  </si>
  <si>
    <t>Corresponde a los gastos tributarios seguros y financieros acorde con la legislación nacional en lo referente a impuestos gravámenes financieros comisiones y expedición de garantías del proyecto</t>
  </si>
  <si>
    <t>NA</t>
  </si>
  <si>
    <t>VALOR TOTAL DEL PROYECTO</t>
  </si>
  <si>
    <t>PRESUPUESTO MEN</t>
  </si>
  <si>
    <t>UNIVERSIDAD CUN</t>
  </si>
  <si>
    <t>ASESORÍA Y GESTIÓN</t>
  </si>
  <si>
    <t>UNIVERSIDAD DE ANTIOQUIA</t>
  </si>
  <si>
    <t>DIFERENCIAS VALORES UNITARIOS RESPECTO PPTO MEN</t>
  </si>
  <si>
    <t>CANTIDAD</t>
  </si>
  <si>
    <t>PROMEDIO</t>
  </si>
  <si>
    <t>MEDIANA</t>
  </si>
  <si>
    <t>DV</t>
  </si>
  <si>
    <t>CE VARIACIÓN</t>
  </si>
  <si>
    <t xml:space="preserve">MIN </t>
  </si>
  <si>
    <t>MAX</t>
  </si>
  <si>
    <t>VR MERCADO</t>
  </si>
  <si>
    <t>OBSERVACIONES</t>
  </si>
  <si>
    <t>CON PROMEDIO</t>
  </si>
  <si>
    <t>Profesionales de sistematización</t>
  </si>
  <si>
    <r>
      <t xml:space="preserve">Profesionales en áreas administrativas o económicas o financieras o ciencias sociales y humanas o ingeniería o áreas de la educación. 
</t>
    </r>
    <r>
      <rPr>
        <u/>
        <sz val="13"/>
        <rFont val="Arial Narrow"/>
        <family val="2"/>
      </rPr>
      <t>1 profesional por 4 sedes</t>
    </r>
  </si>
  <si>
    <t xml:space="preserve">Profesionales en Ciencias sociales, ciencias humanas o económicas. </t>
  </si>
  <si>
    <t>Profesionales en áreas de la educación o Ciencias Sociales y Humanas</t>
  </si>
  <si>
    <t>Espacios colectivos de participación.</t>
  </si>
  <si>
    <t xml:space="preserve">Espacios de encuentro por municipio, con participación de 40  personas cada uno. Incluye: 5 encuentros en cabecera municipal, de 40 personas cada uno en cada uno de los 20 municios. Encuentros de medio día. Se costea refrigerio, almuerzo y salón. </t>
  </si>
  <si>
    <t xml:space="preserve">Transporte terrestre </t>
  </si>
  <si>
    <t xml:space="preserve">se calcula transporte terrestre al 50%  de asistentes a los encuentros </t>
  </si>
  <si>
    <t>Se mantiene el valor propuesto por la firma Asesoría y Gestión teniendo en cuenta su experiencia en este tipo de proyecto y en ests territorios en particular.</t>
  </si>
  <si>
    <t>Asistencia técnica  a secretarías de Educación</t>
  </si>
  <si>
    <t xml:space="preserve">Transporte aéreo y terrestre para garantizar 3 espacios de acompañamiento en la SE x tres profesionales. De 4 horas cada una. </t>
  </si>
  <si>
    <t xml:space="preserve">3 ciclos de formación: 
*3 días de formación de medio día para 70 participantes por sede educativa. (20 sedes)
*3 días de acompañamiento de para 30 participantes por sede educativa (20 sedes)
Incluye únicamente el costo de un refrigerio diario por participante
</t>
  </si>
  <si>
    <t>Se hace un ajuste en relación con el criterio a costear que en este caso son refrigerios para 100 personas, en las 20 sedes educativas por 3 días de formación por 3 encuentros</t>
  </si>
  <si>
    <t>Formación experto</t>
  </si>
  <si>
    <t>4 horas de asesoría virtual por sede con experto (ver definición de experto en el anexo técnico)</t>
  </si>
  <si>
    <t>Se establece el promedio entre los 3 valores más cercanos, sin tener en cuenta el cotizado por la CUN</t>
  </si>
  <si>
    <t xml:space="preserve">Viáticos procesos de formación y acompañamiento </t>
  </si>
  <si>
    <t>Dos profesionales que van a la sede 3 veces por 4 días. Incluye solo viáticos (hospedaje y alimentación)</t>
  </si>
  <si>
    <t xml:space="preserve">Transporte procesos de formación y acompañamiento </t>
  </si>
  <si>
    <t>Dos profesionales que van a la sede 3 veces por 4 días. Incluye solo transporte terrestre.</t>
  </si>
  <si>
    <t xml:space="preserve">Certificados </t>
  </si>
  <si>
    <t xml:space="preserve">Certificados del proceso de Formación por 1400 participantes </t>
  </si>
  <si>
    <t xml:space="preserve">Materiales </t>
  </si>
  <si>
    <t>Paquete de Materiales fungibles por sede (20) que contenga:
Marcadores borrables - Caja x 10
Tijeras - Unidad
Cinta de enmascarar - unidad
Marcadores permanentes - caja x12
Papel Bond - X 50 HOJAS
Papel kraft rollo de 30 cms de alto - unidad 
Ovillos de Lana Diferentes colores - Unidad
Impresiones - UNIDAD NEGRO Y BLANCO CARTA</t>
  </si>
  <si>
    <t>Se incluye la mediana del costo de cada paquete, aclarando el valor del presupuesto unitario del MEN</t>
  </si>
  <si>
    <r>
      <t>Bolsa de asistencia técnica a proyectos productivos 
1</t>
    </r>
    <r>
      <rPr>
        <u/>
        <sz val="13"/>
        <rFont val="Arial Narrow"/>
        <family val="2"/>
      </rPr>
      <t>0 horas por sede educativa</t>
    </r>
    <r>
      <rPr>
        <sz val="13"/>
        <rFont val="Arial Narrow"/>
        <family val="2"/>
      </rPr>
      <t xml:space="preserve">. Ver definición de experto en el enexo técnico </t>
    </r>
  </si>
  <si>
    <t>Viáticos expertos</t>
  </si>
  <si>
    <t>Viáticos a expertos, 3 visitas de un día a cada sede Incluye solo viáticos (hospedaje y alimentación)</t>
  </si>
  <si>
    <t>Se mantiene el valor deviáticos determinado para el proceso de formación y acompañamiento</t>
  </si>
  <si>
    <t>Transporte terrestre expertos</t>
  </si>
  <si>
    <t>Transporte terrestre expertos, 3 visitas de un día a cada sede</t>
  </si>
  <si>
    <t>Se mantiene el valor de transporte terrestre determinado para el proceso de formación y acompañamiento</t>
  </si>
  <si>
    <t>Rueda de negocios</t>
  </si>
  <si>
    <t>Rueda de negocios por cada municipio. Incluye: 
* 1 pendón por cada sede (20 sedes)
* 60 refrigerios por sede (20 sedes)</t>
  </si>
  <si>
    <t>Se establece el promedio entre los 2 valores más cercanos, sin tener en cuenta el cotizado por la CUN ni U de Antioquia.</t>
  </si>
  <si>
    <t>Sistematización del proceso (Viáticos)</t>
  </si>
  <si>
    <t>Se realizarán visitas a los encuentros programados y las escuelas para la sistematización de todo el proceso. Este rubro incluye viáticos para los sistematizadores. 5 personas hacen dos visitas de 3 días a 4 sedes/municipios/
Nota: Los costos incluyen refrigerios, viáticos y logística</t>
  </si>
  <si>
    <t>Sistematización del proceso (Transporte terrestre)</t>
  </si>
  <si>
    <t>Se realizarán visitas a los encuentros programados y las escuelas para la sistematización de todo el proceso. Este rubro incluye transporte para los sistematizadores. 5 personas hacen dos visitas de 3 días a 4 sedes/municipios/</t>
  </si>
  <si>
    <t>INDUCCIÓN AL IMPLEMENTADOR</t>
  </si>
  <si>
    <t>Jornada de Inducción Implementador (Viáticos)</t>
  </si>
  <si>
    <t xml:space="preserve">Viáticos para 4 personas del equipo implementador por 1,5 días. El implementador se desplaza al MEN (Bogotá) </t>
  </si>
  <si>
    <t>Jornada de Inducción Implementador (Transporte)</t>
  </si>
  <si>
    <t xml:space="preserve">Transporte aéreo para 4 personas del equipo implementador por 1,5 días. El implementador se desplaza al MEN (Bogotá) </t>
  </si>
  <si>
    <t>VALOR TOTAL DEL PROYECTO SIN  IVA</t>
  </si>
  <si>
    <t>IVA</t>
  </si>
  <si>
    <t>VALOR TOTAL DEL PROYECTO CON  IVA</t>
  </si>
  <si>
    <t>VR UNITARIO</t>
  </si>
  <si>
    <t>VALOR TOTAL CON COTIZACIONES</t>
  </si>
  <si>
    <t>Se realizarán visitas a los encuentros programados y las escuelas para la sistematización de todo el proceso. Este rubro incluye viáticos (hospedaje y alimentación) para los sistematizadores. 5 personas hacen dos visitas de 3 días a 4 sedes/municipios/
Nota: Incluye solo viáticos (hospedaje y alimentación)</t>
  </si>
  <si>
    <t>Se realizarán visitas a los encuentros programados y las escuelas para la sistematización de todo el proceso. Este rubro incluye transporte terrestre para los sistematizadores. 5 personas hacen dos visitas de 3 días a 4 sedes/municipios/</t>
  </si>
  <si>
    <t>Jornada de Inducción Implementador (Transporte aéreo)</t>
  </si>
  <si>
    <t>VALOR COMISIÓN</t>
  </si>
  <si>
    <t>VALOR TOTAL INCLUYENDO COMISIÓN 2%</t>
  </si>
  <si>
    <t>VALOR CDP</t>
  </si>
  <si>
    <t>DIFERENCIA RESPECTO AL CDP</t>
  </si>
  <si>
    <t>Profesional en administración, ciencias económicas, áreas administrativas o financieras
Título de posgrado en ciencias de la educación o ciencias sociales y humanas o áreas relacionadas con el desarrollo rural con 48 - 60 meses de Experiencia Profesional.  En caso de no contar con título de posgrado se deben certificar veinticuatro (24) meses de experiencia adicional a la experiencia relacionada.</t>
  </si>
  <si>
    <t>Profesional en áreas administrativas o económicas o financiera o de ciencias del derecho, sociales, políticas o  humanas o ingeniería o áreas de la educación.
Título de posgrado en temas sociales y/o educación con 48 - 60 meses de Experiencia Profesional,. En caso de no contar con título de posgrado se tendrá como equivalencia dos (2) años de experiencia adicional, siempre y cuando esa experiencia sea afín con el objeto de la contratación.</t>
  </si>
  <si>
    <r>
      <t xml:space="preserve">Profesionales en áreas relacionadas con la producción rurales como agronomía o veterinaria o zootecnia o ingeniería agropecuaria o ingeniería agroindustrial o agroecología o ingeniería agroambiental o ingeniería agroforestal o ingeniería agrícola o ingeniería de alimentos o afines con 7 - 11 meses de Experiencia Profesional.
</t>
    </r>
    <r>
      <rPr>
        <u/>
        <sz val="13"/>
        <rFont val="Arial Narrow"/>
        <family val="2"/>
      </rPr>
      <t>1 profesional por 4 sedes</t>
    </r>
  </si>
  <si>
    <r>
      <t xml:space="preserve">Profesionales en áreas administrativas o económicas o financieras o ciencias sociales y humanas o ingeniería o áreas de la educación, con 7 - 11 meses de Experiencia Profesional. 
</t>
    </r>
    <r>
      <rPr>
        <u/>
        <sz val="13"/>
        <color theme="1"/>
        <rFont val="Arial Narrow"/>
        <family val="2"/>
      </rPr>
      <t>1 profesional por 20 sedes</t>
    </r>
  </si>
  <si>
    <r>
      <t xml:space="preserve">Profesionales en Ciencias sociales, ciencias humanas o económicas, con 7 - 11 meses de Experiencia Profesional.
</t>
    </r>
    <r>
      <rPr>
        <u/>
        <sz val="13"/>
        <color rgb="FF000000"/>
        <rFont val="Arial Narrow"/>
        <family val="2"/>
      </rPr>
      <t>1 profesional por todas las sedes</t>
    </r>
  </si>
  <si>
    <r>
      <t xml:space="preserve">Profesionales en áreas de la educación o Ciencias Sociales y Humanas, con 7 - 11 meses de Experiencia Profesional.
</t>
    </r>
    <r>
      <rPr>
        <u/>
        <sz val="13"/>
        <color rgb="FF000000"/>
        <rFont val="Arial Narrow"/>
        <family val="2"/>
      </rPr>
      <t>1 profesional por 4 sedes</t>
    </r>
  </si>
  <si>
    <t xml:space="preserve">1 espacio de encuentro por municipio para caracterización y socialización de la propuesta.
Participación de 40 personas cada uno. 
El encuentro será de 6 horas 
Se costea refrigerio, almuerzo y salón. </t>
  </si>
  <si>
    <t>Se calcula transporte terrestre al 50%  de asistentes a los encuentros, es decir, a 20 personas por encuentro</t>
  </si>
  <si>
    <t>Asistencia técnica a Secretarías de Educación</t>
  </si>
  <si>
    <t xml:space="preserve">Transporte aéreo y terrestre para garantizar 1 espacio de acompañamiento en la Secretaría de Educación de cada municipio (40 municipios) por 2 profesionales. 
Duración: 4 horas. </t>
  </si>
  <si>
    <t>3 ciclos de formación paralela: 
* Van 3 veces a la sede por 4 días para el ejercicio de formación. La duración es de medio día. Número de participantes: 90 participantes por sede educativa. (40 sedes)
* Van 3 veces a la sede por 4 días para realizar acompañamiento en PEI. Número de participantes: 20 por sede educativa (40 sedes)
Incluye únicamente el costo de un refrigerio diario por participante</t>
  </si>
  <si>
    <t>Dos profesionales que van a la sede 3 veces por 4 días. 
Incluye solo viáticos (hospedaje y alimentación)</t>
  </si>
  <si>
    <t xml:space="preserve">Certificados del proceso de Formación por 3200 participantes </t>
  </si>
  <si>
    <t>Paquete de Materiales fungibles por sede (40) que contenga:
Marcadores borrables - Caja x 10
Tijeras - Unidad
Cinta de enmascarar - unidad
Marcadores permanentes - caja x12
Papel Bond - X 50 HOJAS
Papel kraft rollo de 30 cms de alto - unidad 
Ovillos de Lana Diferentes colores - Unidad
Impresiones - UNIDAD NEGRO Y BLANCO CARTA</t>
  </si>
  <si>
    <r>
      <rPr>
        <sz val="13"/>
        <color rgb="FF000000"/>
        <rFont val="Arial Narrow"/>
        <family val="2"/>
      </rPr>
      <t xml:space="preserve">Bolsa de asistencia técnica a proyectos productivos 
</t>
    </r>
    <r>
      <rPr>
        <u/>
        <sz val="13"/>
        <color rgb="FF000000"/>
        <rFont val="Arial Narrow"/>
        <family val="2"/>
      </rPr>
      <t>10 horas por sede educativa</t>
    </r>
    <r>
      <rPr>
        <sz val="13"/>
        <color rgb="FF000000"/>
        <rFont val="Arial Narrow"/>
        <family val="2"/>
      </rPr>
      <t xml:space="preserve">. Ver definición de experto en el enexo técnico </t>
    </r>
  </si>
  <si>
    <t>Rueda de negocios por cada municipio. Incluye: 
* 1 pendón por cada sede (40 sedes)
* 60 refrigerios por sede (40 sedes)</t>
  </si>
  <si>
    <t>Inicialmente 4,2 y 4,3, correspondían a Viáticos y Transporte terrestre expertos, sin embargo en la versión final se eliminan estos items, teniendo en cuenta que esta asesoría será cubierta por los Profesionales técnicos y pedagogos que asistirán a las sedes de manera presencial.</t>
  </si>
  <si>
    <t>Nuevo valor de la bolsa</t>
  </si>
  <si>
    <t>Cada sistematizador realizará 3 visitas a 3 escuelas durante 2 días. 
Nota: Incluye solo viáticos (hospedaje y alimentación)</t>
  </si>
  <si>
    <t>Se realizarán visitas a los encuentros programados y las escuelas para la sistematización de todo el proceso. Este rubro incluye transporte terrestre para los sistematizadores. 1 persona visita 3 sedes x dos días</t>
  </si>
  <si>
    <t xml:space="preserve">Viáticos para 3 personas del equipo implementador por 1,5 días. El implementador se desplaza al MEN (Bogotá) </t>
  </si>
  <si>
    <t xml:space="preserve">Transporte aéreo para 3 personas del equipo implementador por 1,5 días. El implementador se desplaza al MEN (Bogotá)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</si>
</sst>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&quot;$&quot;\ #,##0.00;[Red]\-&quot;$&quot;\ #,##0.00"/>
    <numFmt numFmtId="165" formatCode="_-&quot;$&quot;\ * #,##0_-;\-&quot;$&quot;\ * #,##0_-;_-&quot;$&quot;\ * &quot;-&quot;_-;_-@_-"/>
    <numFmt numFmtId="166" formatCode="_-&quot;$&quot;\ * #,##0.00_-;\-&quot;$&quot;\ * #,##0.00_-;_-&quot;$&quot;\ * &quot;-&quot;??_-;_-@_-"/>
    <numFmt numFmtId="168" formatCode="&quot;$&quot;\ #,##0"/>
    <numFmt numFmtId="169" formatCode="_-[$$-240A]\ * #,##0.00_-;\-[$$-240A]\ * #,##0.00_-;_-[$$-240A]\ * &quot;-&quot;??_-;_-@_-"/>
    <numFmt numFmtId="170" formatCode="0.0%"/>
    <numFmt numFmtId="171" formatCode="_-* #,##0_-;\-* #,##0_-;_-* &quot;-&quot;??_-;_-@_-"/>
    <numFmt numFmtId="175" formatCode="_-[$$-240A]\ * #,##0_-;\-[$$-240A]\ * #,##0_-;_-[$$-240A]\ * &quot;-&quot;??_-;_-@_-"/>
  </numFmts>
  <fonts count="28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Montserrat"/>
    </font>
    <font>
      <b/>
      <sz val="10"/>
      <color rgb="FF000000"/>
      <name val="Montserrat"/>
    </font>
    <font>
      <sz val="10"/>
      <color rgb="FFFF0000"/>
      <name val="Arial"/>
      <family val="2"/>
    </font>
    <font>
      <b/>
      <sz val="10"/>
      <color theme="1"/>
      <name val="Calibri"/>
      <family val="2"/>
      <scheme val="minor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b/>
      <sz val="10"/>
      <color rgb="FFFF000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color theme="1"/>
      <name val="Calibri"/>
      <family val="2"/>
      <scheme val="minor"/>
    </font>
    <font>
      <sz val="13"/>
      <color theme="1"/>
      <name val="Arial Narrow"/>
      <family val="2"/>
    </font>
    <font>
      <b/>
      <sz val="13"/>
      <color theme="0"/>
      <name val="Arial Narrow"/>
      <family val="2"/>
    </font>
    <font>
      <b/>
      <sz val="13"/>
      <name val="Arial Narrow"/>
      <family val="2"/>
    </font>
    <font>
      <sz val="13"/>
      <name val="Arial Narrow"/>
      <family val="2"/>
    </font>
    <font>
      <b/>
      <sz val="13"/>
      <color theme="1"/>
      <name val="Arial Narrow"/>
      <family val="2"/>
    </font>
    <font>
      <u/>
      <sz val="13"/>
      <name val="Arial Narrow"/>
      <family val="2"/>
    </font>
    <font>
      <sz val="13"/>
      <color theme="0"/>
      <name val="Arial Narrow"/>
      <family val="2"/>
    </font>
    <font>
      <sz val="13"/>
      <color rgb="FF000000"/>
      <name val="Arial Narrow"/>
      <family val="2"/>
    </font>
    <font>
      <u/>
      <sz val="13"/>
      <color rgb="FF000000"/>
      <name val="Arial Narrow"/>
      <family val="2"/>
    </font>
    <font>
      <u/>
      <sz val="13"/>
      <color theme="1"/>
      <name val="Arial Narrow"/>
      <family val="2"/>
    </font>
  </fonts>
  <fills count="1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6" fillId="0" borderId="0"/>
  </cellStyleXfs>
  <cellXfs count="216">
    <xf numFmtId="0" fontId="0" fillId="0" borderId="0" xfId="0"/>
    <xf numFmtId="165" fontId="2" fillId="5" borderId="1" xfId="2" applyFont="1" applyFill="1" applyBorder="1" applyAlignment="1">
      <alignment horizontal="center" vertical="center"/>
    </xf>
    <xf numFmtId="168" fontId="2" fillId="5" borderId="1" xfId="2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3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left" vertical="center"/>
    </xf>
    <xf numFmtId="0" fontId="5" fillId="0" borderId="1" xfId="1" applyFont="1" applyBorder="1" applyAlignment="1">
      <alignment horizontal="justify" vertical="center" wrapText="1"/>
    </xf>
    <xf numFmtId="0" fontId="6" fillId="0" borderId="1" xfId="1" applyFont="1" applyBorder="1" applyAlignment="1">
      <alignment horizontal="center" vertical="center"/>
    </xf>
    <xf numFmtId="165" fontId="5" fillId="0" borderId="1" xfId="2" applyFont="1" applyFill="1" applyBorder="1" applyAlignment="1">
      <alignment vertical="center"/>
    </xf>
    <xf numFmtId="0" fontId="4" fillId="3" borderId="1" xfId="1" applyFont="1" applyFill="1" applyBorder="1" applyAlignment="1">
      <alignment vertical="center"/>
    </xf>
    <xf numFmtId="0" fontId="7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vertical="center"/>
    </xf>
    <xf numFmtId="165" fontId="4" fillId="6" borderId="1" xfId="2" applyFont="1" applyFill="1" applyBorder="1" applyAlignment="1">
      <alignment horizontal="right" vertical="center"/>
    </xf>
    <xf numFmtId="0" fontId="4" fillId="4" borderId="1" xfId="1" applyFont="1" applyFill="1" applyBorder="1" applyAlignment="1">
      <alignment vertical="center"/>
    </xf>
    <xf numFmtId="0" fontId="4" fillId="4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168" fontId="5" fillId="5" borderId="1" xfId="2" applyNumberFormat="1" applyFont="1" applyFill="1" applyBorder="1" applyAlignment="1">
      <alignment horizontal="right" vertical="center"/>
    </xf>
    <xf numFmtId="165" fontId="5" fillId="0" borderId="1" xfId="2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165" fontId="4" fillId="0" borderId="1" xfId="2" applyFont="1" applyFill="1" applyBorder="1" applyAlignment="1">
      <alignment horizontal="right" vertical="center"/>
    </xf>
    <xf numFmtId="0" fontId="5" fillId="4" borderId="1" xfId="1" applyFont="1" applyFill="1" applyBorder="1" applyAlignment="1">
      <alignment vertical="center"/>
    </xf>
    <xf numFmtId="0" fontId="5" fillId="4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vertical="center"/>
    </xf>
    <xf numFmtId="0" fontId="5" fillId="3" borderId="1" xfId="1" applyFont="1" applyFill="1" applyBorder="1" applyAlignment="1">
      <alignment horizontal="center" vertical="center"/>
    </xf>
    <xf numFmtId="165" fontId="4" fillId="3" borderId="1" xfId="1" applyNumberFormat="1" applyFont="1" applyFill="1" applyBorder="1" applyAlignment="1">
      <alignment vertical="center"/>
    </xf>
    <xf numFmtId="9" fontId="5" fillId="5" borderId="1" xfId="3" applyFont="1" applyFill="1" applyBorder="1" applyAlignment="1">
      <alignment horizontal="center" vertical="center"/>
    </xf>
    <xf numFmtId="165" fontId="4" fillId="4" borderId="1" xfId="2" applyFont="1" applyFill="1" applyBorder="1" applyAlignment="1">
      <alignment vertical="center"/>
    </xf>
    <xf numFmtId="0" fontId="4" fillId="0" borderId="2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8" fillId="0" borderId="1" xfId="1" applyFont="1" applyBorder="1" applyAlignment="1">
      <alignment horizontal="left" vertical="center" wrapText="1"/>
    </xf>
    <xf numFmtId="164" fontId="3" fillId="0" borderId="0" xfId="0" applyNumberFormat="1" applyFont="1" applyAlignment="1">
      <alignment vertical="center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11" fillId="0" borderId="1" xfId="0" applyFont="1" applyBorder="1" applyAlignment="1">
      <alignment vertical="center"/>
    </xf>
    <xf numFmtId="0" fontId="4" fillId="7" borderId="1" xfId="1" applyFont="1" applyFill="1" applyBorder="1" applyAlignment="1">
      <alignment vertical="center"/>
    </xf>
    <xf numFmtId="165" fontId="4" fillId="7" borderId="1" xfId="2" applyFont="1" applyFill="1" applyBorder="1" applyAlignment="1">
      <alignment horizontal="right" vertical="center"/>
    </xf>
    <xf numFmtId="165" fontId="5" fillId="0" borderId="0" xfId="2" applyFont="1" applyFill="1" applyBorder="1" applyAlignment="1">
      <alignment vertical="center"/>
    </xf>
    <xf numFmtId="165" fontId="5" fillId="0" borderId="0" xfId="2" applyFont="1" applyFill="1" applyBorder="1" applyAlignment="1">
      <alignment horizontal="right" vertical="center"/>
    </xf>
    <xf numFmtId="165" fontId="4" fillId="0" borderId="0" xfId="2" applyFont="1" applyFill="1" applyBorder="1" applyAlignment="1">
      <alignment horizontal="right" vertical="center"/>
    </xf>
    <xf numFmtId="165" fontId="5" fillId="0" borderId="0" xfId="1" applyNumberFormat="1" applyFont="1" applyAlignment="1">
      <alignment vertical="center"/>
    </xf>
    <xf numFmtId="0" fontId="14" fillId="3" borderId="1" xfId="1" applyFont="1" applyFill="1" applyBorder="1" applyAlignment="1">
      <alignment vertical="center"/>
    </xf>
    <xf numFmtId="165" fontId="12" fillId="8" borderId="0" xfId="1" applyNumberFormat="1" applyFont="1" applyFill="1" applyAlignment="1">
      <alignment vertical="center"/>
    </xf>
    <xf numFmtId="165" fontId="4" fillId="0" borderId="0" xfId="2" applyFont="1" applyFill="1" applyBorder="1" applyAlignment="1">
      <alignment vertical="center"/>
    </xf>
    <xf numFmtId="165" fontId="8" fillId="0" borderId="1" xfId="1" applyNumberFormat="1" applyFont="1" applyBorder="1" applyAlignment="1">
      <alignment horizontal="right" vertical="center" wrapText="1"/>
    </xf>
    <xf numFmtId="165" fontId="9" fillId="0" borderId="1" xfId="1" applyNumberFormat="1" applyFont="1" applyBorder="1" applyAlignment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5" fontId="4" fillId="6" borderId="2" xfId="1" applyNumberFormat="1" applyFont="1" applyFill="1" applyBorder="1" applyAlignment="1">
      <alignment vertical="center"/>
    </xf>
    <xf numFmtId="165" fontId="4" fillId="0" borderId="2" xfId="1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3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165" fontId="4" fillId="0" borderId="0" xfId="1" applyNumberFormat="1" applyFont="1" applyAlignment="1">
      <alignment vertical="center"/>
    </xf>
    <xf numFmtId="165" fontId="12" fillId="0" borderId="0" xfId="1" applyNumberFormat="1" applyFont="1" applyAlignment="1">
      <alignment vertical="center"/>
    </xf>
    <xf numFmtId="4" fontId="5" fillId="0" borderId="0" xfId="1" applyNumberFormat="1" applyFont="1" applyAlignment="1">
      <alignment vertical="center"/>
    </xf>
    <xf numFmtId="166" fontId="5" fillId="0" borderId="0" xfId="1" applyNumberFormat="1" applyFont="1" applyAlignment="1">
      <alignment vertical="center"/>
    </xf>
    <xf numFmtId="0" fontId="5" fillId="5" borderId="1" xfId="1" applyFont="1" applyFill="1" applyBorder="1" applyAlignment="1">
      <alignment horizontal="center" vertical="center"/>
    </xf>
    <xf numFmtId="165" fontId="4" fillId="5" borderId="1" xfId="2" applyFont="1" applyFill="1" applyBorder="1" applyAlignment="1">
      <alignment horizontal="right" vertical="center"/>
    </xf>
    <xf numFmtId="165" fontId="4" fillId="5" borderId="0" xfId="2" applyFont="1" applyFill="1" applyBorder="1" applyAlignment="1">
      <alignment horizontal="right" vertical="center"/>
    </xf>
    <xf numFmtId="0" fontId="3" fillId="5" borderId="0" xfId="0" applyFont="1" applyFill="1" applyAlignment="1">
      <alignment vertical="center"/>
    </xf>
    <xf numFmtId="0" fontId="5" fillId="9" borderId="1" xfId="1" applyFont="1" applyFill="1" applyBorder="1" applyAlignment="1">
      <alignment horizontal="left" vertical="center" wrapText="1"/>
    </xf>
    <xf numFmtId="0" fontId="5" fillId="9" borderId="1" xfId="1" applyFont="1" applyFill="1" applyBorder="1" applyAlignment="1">
      <alignment horizontal="center" vertical="center" wrapText="1"/>
    </xf>
    <xf numFmtId="0" fontId="5" fillId="9" borderId="1" xfId="1" applyFont="1" applyFill="1" applyBorder="1" applyAlignment="1">
      <alignment horizontal="center" vertical="center"/>
    </xf>
    <xf numFmtId="168" fontId="5" fillId="9" borderId="1" xfId="2" applyNumberFormat="1" applyFont="1" applyFill="1" applyBorder="1" applyAlignment="1">
      <alignment horizontal="right" vertical="center"/>
    </xf>
    <xf numFmtId="165" fontId="5" fillId="9" borderId="1" xfId="2" applyFont="1" applyFill="1" applyBorder="1" applyAlignment="1">
      <alignment horizontal="right" vertical="center"/>
    </xf>
    <xf numFmtId="168" fontId="2" fillId="9" borderId="1" xfId="2" applyNumberFormat="1" applyFont="1" applyFill="1" applyBorder="1" applyAlignment="1">
      <alignment horizontal="right" vertical="center"/>
    </xf>
    <xf numFmtId="0" fontId="5" fillId="13" borderId="1" xfId="1" applyFont="1" applyFill="1" applyBorder="1" applyAlignment="1">
      <alignment horizontal="left" vertical="center" wrapText="1"/>
    </xf>
    <xf numFmtId="0" fontId="5" fillId="13" borderId="4" xfId="1" applyFont="1" applyFill="1" applyBorder="1" applyAlignment="1">
      <alignment horizontal="center" vertical="center"/>
    </xf>
    <xf numFmtId="0" fontId="18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/>
    </xf>
    <xf numFmtId="169" fontId="21" fillId="0" borderId="0" xfId="0" applyNumberFormat="1" applyFont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8" borderId="1" xfId="0" applyFont="1" applyFill="1" applyBorder="1" applyAlignment="1">
      <alignment vertical="center" wrapText="1"/>
    </xf>
    <xf numFmtId="0" fontId="21" fillId="8" borderId="1" xfId="0" applyFont="1" applyFill="1" applyBorder="1" applyAlignment="1">
      <alignment horizontal="center" vertical="center"/>
    </xf>
    <xf numFmtId="171" fontId="21" fillId="0" borderId="1" xfId="0" applyNumberFormat="1" applyFont="1" applyBorder="1" applyAlignment="1">
      <alignment horizontal="center" vertical="center"/>
    </xf>
    <xf numFmtId="175" fontId="21" fillId="11" borderId="1" xfId="6" applyNumberFormat="1" applyFont="1" applyFill="1" applyBorder="1" applyAlignment="1" applyProtection="1">
      <alignment vertical="center"/>
      <protection locked="0"/>
    </xf>
    <xf numFmtId="175" fontId="18" fillId="0" borderId="0" xfId="0" applyNumberFormat="1" applyFont="1"/>
    <xf numFmtId="169" fontId="18" fillId="0" borderId="0" xfId="0" applyNumberFormat="1" applyFont="1"/>
    <xf numFmtId="175" fontId="21" fillId="11" borderId="1" xfId="6" quotePrefix="1" applyNumberFormat="1" applyFont="1" applyFill="1" applyBorder="1" applyAlignment="1" applyProtection="1">
      <alignment vertical="center"/>
      <protection locked="0"/>
    </xf>
    <xf numFmtId="1" fontId="18" fillId="0" borderId="0" xfId="0" applyNumberFormat="1" applyFont="1"/>
    <xf numFmtId="0" fontId="21" fillId="0" borderId="1" xfId="0" applyFont="1" applyBorder="1" applyAlignment="1">
      <alignment vertical="center" wrapText="1"/>
    </xf>
    <xf numFmtId="171" fontId="21" fillId="8" borderId="1" xfId="0" applyNumberFormat="1" applyFont="1" applyFill="1" applyBorder="1" applyAlignment="1">
      <alignment horizontal="center" vertical="center"/>
    </xf>
    <xf numFmtId="175" fontId="20" fillId="12" borderId="4" xfId="6" applyNumberFormat="1" applyFont="1" applyFill="1" applyBorder="1" applyAlignment="1" applyProtection="1">
      <alignment vertical="center"/>
    </xf>
    <xf numFmtId="175" fontId="21" fillId="0" borderId="15" xfId="6" applyNumberFormat="1" applyFont="1" applyFill="1" applyBorder="1" applyAlignment="1" applyProtection="1">
      <alignment vertical="center"/>
    </xf>
    <xf numFmtId="0" fontId="18" fillId="0" borderId="0" xfId="0" applyFont="1" applyAlignment="1">
      <alignment wrapText="1"/>
    </xf>
    <xf numFmtId="0" fontId="19" fillId="8" borderId="0" xfId="0" applyFont="1" applyFill="1" applyAlignment="1">
      <alignment horizontal="right" vertical="center"/>
    </xf>
    <xf numFmtId="175" fontId="19" fillId="8" borderId="0" xfId="6" applyNumberFormat="1" applyFont="1" applyFill="1" applyBorder="1" applyAlignment="1" applyProtection="1">
      <alignment vertical="center"/>
    </xf>
    <xf numFmtId="0" fontId="20" fillId="9" borderId="1" xfId="0" applyFont="1" applyFill="1" applyBorder="1" applyAlignment="1">
      <alignment vertical="center"/>
    </xf>
    <xf numFmtId="0" fontId="20" fillId="9" borderId="1" xfId="0" applyFont="1" applyFill="1" applyBorder="1" applyAlignment="1">
      <alignment vertical="center" wrapText="1"/>
    </xf>
    <xf numFmtId="0" fontId="21" fillId="9" borderId="1" xfId="0" applyFont="1" applyFill="1" applyBorder="1" applyAlignment="1">
      <alignment horizontal="center" vertical="center"/>
    </xf>
    <xf numFmtId="175" fontId="21" fillId="9" borderId="1" xfId="0" applyNumberFormat="1" applyFont="1" applyFill="1" applyBorder="1" applyAlignment="1">
      <alignment vertical="center"/>
    </xf>
    <xf numFmtId="0" fontId="21" fillId="8" borderId="1" xfId="0" applyFont="1" applyFill="1" applyBorder="1" applyAlignment="1">
      <alignment vertical="center"/>
    </xf>
    <xf numFmtId="170" fontId="21" fillId="5" borderId="1" xfId="7" applyNumberFormat="1" applyFont="1" applyFill="1" applyBorder="1" applyAlignment="1" applyProtection="1">
      <alignment horizontal="center" vertical="center"/>
      <protection locked="0"/>
    </xf>
    <xf numFmtId="175" fontId="21" fillId="0" borderId="1" xfId="4" applyNumberFormat="1" applyFont="1" applyBorder="1" applyAlignment="1">
      <alignment vertical="center"/>
    </xf>
    <xf numFmtId="0" fontId="20" fillId="12" borderId="4" xfId="0" applyFont="1" applyFill="1" applyBorder="1" applyAlignment="1">
      <alignment horizontal="center" vertical="center" wrapText="1"/>
    </xf>
    <xf numFmtId="0" fontId="20" fillId="12" borderId="4" xfId="0" applyFont="1" applyFill="1" applyBorder="1" applyAlignment="1">
      <alignment horizontal="center" vertical="center"/>
    </xf>
    <xf numFmtId="169" fontId="20" fillId="12" borderId="4" xfId="0" applyNumberFormat="1" applyFont="1" applyFill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8" borderId="12" xfId="0" applyFont="1" applyFill="1" applyBorder="1" applyAlignment="1">
      <alignment vertical="center" wrapText="1"/>
    </xf>
    <xf numFmtId="0" fontId="21" fillId="8" borderId="12" xfId="0" applyFont="1" applyFill="1" applyBorder="1" applyAlignment="1">
      <alignment horizontal="center" vertical="center"/>
    </xf>
    <xf numFmtId="175" fontId="21" fillId="11" borderId="12" xfId="6" applyNumberFormat="1" applyFont="1" applyFill="1" applyBorder="1" applyAlignment="1" applyProtection="1">
      <alignment vertical="center"/>
      <protection locked="0"/>
    </xf>
    <xf numFmtId="175" fontId="21" fillId="0" borderId="13" xfId="6" applyNumberFormat="1" applyFont="1" applyFill="1" applyBorder="1" applyAlignment="1" applyProtection="1">
      <alignment vertical="center"/>
    </xf>
    <xf numFmtId="175" fontId="21" fillId="8" borderId="15" xfId="6" applyNumberFormat="1" applyFont="1" applyFill="1" applyBorder="1" applyAlignment="1" applyProtection="1">
      <alignment vertical="center"/>
    </xf>
    <xf numFmtId="175" fontId="20" fillId="12" borderId="16" xfId="6" applyNumberFormat="1" applyFont="1" applyFill="1" applyBorder="1" applyAlignment="1" applyProtection="1">
      <alignment vertical="center"/>
    </xf>
    <xf numFmtId="175" fontId="20" fillId="12" borderId="17" xfId="6" applyNumberFormat="1" applyFont="1" applyFill="1" applyBorder="1" applyAlignment="1" applyProtection="1">
      <alignment vertical="center"/>
    </xf>
    <xf numFmtId="175" fontId="20" fillId="12" borderId="18" xfId="6" applyNumberFormat="1" applyFont="1" applyFill="1" applyBorder="1" applyAlignment="1" applyProtection="1">
      <alignment vertical="center"/>
    </xf>
    <xf numFmtId="0" fontId="21" fillId="0" borderId="12" xfId="0" applyFont="1" applyBorder="1" applyAlignment="1">
      <alignment vertical="center" wrapText="1"/>
    </xf>
    <xf numFmtId="175" fontId="21" fillId="0" borderId="19" xfId="6" applyNumberFormat="1" applyFont="1" applyFill="1" applyBorder="1" applyAlignment="1" applyProtection="1">
      <alignment vertical="center"/>
    </xf>
    <xf numFmtId="175" fontId="20" fillId="9" borderId="12" xfId="0" applyNumberFormat="1" applyFont="1" applyFill="1" applyBorder="1" applyAlignment="1">
      <alignment horizontal="center" vertical="center"/>
    </xf>
    <xf numFmtId="175" fontId="20" fillId="9" borderId="13" xfId="0" applyNumberFormat="1" applyFont="1" applyFill="1" applyBorder="1" applyAlignment="1">
      <alignment horizontal="center" vertical="center"/>
    </xf>
    <xf numFmtId="0" fontId="20" fillId="9" borderId="21" xfId="0" applyFont="1" applyFill="1" applyBorder="1" applyAlignment="1">
      <alignment horizontal="center" vertical="center" wrapText="1"/>
    </xf>
    <xf numFmtId="175" fontId="21" fillId="9" borderId="15" xfId="0" applyNumberFormat="1" applyFont="1" applyFill="1" applyBorder="1" applyAlignment="1">
      <alignment vertical="center"/>
    </xf>
    <xf numFmtId="0" fontId="21" fillId="0" borderId="21" xfId="0" applyFont="1" applyBorder="1" applyAlignment="1">
      <alignment horizontal="center" vertical="center"/>
    </xf>
    <xf numFmtId="175" fontId="21" fillId="0" borderId="15" xfId="5" applyNumberFormat="1" applyFont="1" applyFill="1" applyBorder="1" applyAlignment="1" applyProtection="1">
      <alignment vertical="center"/>
    </xf>
    <xf numFmtId="0" fontId="24" fillId="10" borderId="23" xfId="0" applyFont="1" applyFill="1" applyBorder="1" applyAlignment="1">
      <alignment horizontal="center" vertical="center"/>
    </xf>
    <xf numFmtId="0" fontId="19" fillId="10" borderId="16" xfId="0" applyFont="1" applyFill="1" applyBorder="1" applyAlignment="1">
      <alignment vertical="center" wrapText="1"/>
    </xf>
    <xf numFmtId="0" fontId="24" fillId="10" borderId="16" xfId="0" applyFont="1" applyFill="1" applyBorder="1" applyAlignment="1">
      <alignment horizontal="center" vertical="center"/>
    </xf>
    <xf numFmtId="175" fontId="24" fillId="10" borderId="16" xfId="0" applyNumberFormat="1" applyFont="1" applyFill="1" applyBorder="1" applyAlignment="1">
      <alignment vertical="center"/>
    </xf>
    <xf numFmtId="175" fontId="19" fillId="10" borderId="17" xfId="5" applyNumberFormat="1" applyFont="1" applyFill="1" applyBorder="1" applyAlignment="1" applyProtection="1">
      <alignment vertical="center"/>
    </xf>
    <xf numFmtId="0" fontId="22" fillId="0" borderId="14" xfId="0" applyFont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left" vertical="center" wrapText="1"/>
    </xf>
    <xf numFmtId="0" fontId="21" fillId="8" borderId="12" xfId="0" applyFont="1" applyFill="1" applyBorder="1" applyAlignment="1">
      <alignment horizontal="left" vertical="center" wrapText="1"/>
    </xf>
    <xf numFmtId="175" fontId="21" fillId="8" borderId="13" xfId="6" applyNumberFormat="1" applyFont="1" applyFill="1" applyBorder="1" applyAlignment="1" applyProtection="1">
      <alignment vertical="center"/>
    </xf>
    <xf numFmtId="0" fontId="21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175" fontId="21" fillId="11" borderId="11" xfId="6" applyNumberFormat="1" applyFont="1" applyFill="1" applyBorder="1" applyAlignment="1" applyProtection="1">
      <alignment vertical="center"/>
      <protection locked="0"/>
    </xf>
    <xf numFmtId="175" fontId="21" fillId="8" borderId="1" xfId="6" quotePrefix="1" applyNumberFormat="1" applyFont="1" applyFill="1" applyBorder="1" applyAlignment="1" applyProtection="1">
      <alignment vertical="center"/>
      <protection locked="0"/>
    </xf>
    <xf numFmtId="2" fontId="21" fillId="0" borderId="12" xfId="0" applyNumberFormat="1" applyFont="1" applyBorder="1" applyAlignment="1">
      <alignment horizontal="center" vertical="center"/>
    </xf>
    <xf numFmtId="0" fontId="25" fillId="8" borderId="12" xfId="0" applyFont="1" applyFill="1" applyBorder="1" applyAlignment="1">
      <alignment vertical="center" wrapText="1"/>
    </xf>
    <xf numFmtId="0" fontId="25" fillId="8" borderId="1" xfId="0" applyFont="1" applyFill="1" applyBorder="1" applyAlignment="1">
      <alignment vertical="center" wrapText="1"/>
    </xf>
    <xf numFmtId="175" fontId="21" fillId="0" borderId="1" xfId="6" applyNumberFormat="1" applyFont="1" applyFill="1" applyBorder="1" applyAlignment="1" applyProtection="1">
      <alignment vertical="center"/>
    </xf>
    <xf numFmtId="0" fontId="18" fillId="0" borderId="1" xfId="0" applyFont="1" applyBorder="1" applyAlignment="1">
      <alignment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/>
    </xf>
    <xf numFmtId="169" fontId="20" fillId="12" borderId="1" xfId="0" applyNumberFormat="1" applyFont="1" applyFill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/>
    </xf>
    <xf numFmtId="175" fontId="20" fillId="12" borderId="1" xfId="6" applyNumberFormat="1" applyFont="1" applyFill="1" applyBorder="1" applyAlignment="1" applyProtection="1">
      <alignment vertical="center"/>
    </xf>
    <xf numFmtId="0" fontId="18" fillId="0" borderId="1" xfId="0" applyFont="1" applyBorder="1"/>
    <xf numFmtId="0" fontId="18" fillId="0" borderId="1" xfId="0" applyFont="1" applyBorder="1" applyAlignment="1">
      <alignment horizontal="center" vertical="center"/>
    </xf>
    <xf numFmtId="175" fontId="19" fillId="10" borderId="0" xfId="5" applyNumberFormat="1" applyFont="1" applyFill="1" applyBorder="1" applyAlignment="1" applyProtection="1">
      <alignment vertical="center"/>
    </xf>
    <xf numFmtId="169" fontId="20" fillId="0" borderId="0" xfId="0" applyNumberFormat="1" applyFont="1" applyAlignment="1">
      <alignment horizontal="center" vertical="center" wrapText="1"/>
    </xf>
    <xf numFmtId="175" fontId="20" fillId="0" borderId="0" xfId="6" applyNumberFormat="1" applyFont="1" applyFill="1" applyBorder="1" applyAlignment="1" applyProtection="1">
      <alignment vertical="center"/>
    </xf>
    <xf numFmtId="175" fontId="19" fillId="0" borderId="0" xfId="6" applyNumberFormat="1" applyFont="1" applyFill="1" applyBorder="1" applyAlignment="1" applyProtection="1">
      <alignment vertical="center"/>
    </xf>
    <xf numFmtId="175" fontId="20" fillId="0" borderId="0" xfId="0" applyNumberFormat="1" applyFont="1" applyAlignment="1">
      <alignment horizontal="center" vertical="center"/>
    </xf>
    <xf numFmtId="175" fontId="21" fillId="0" borderId="0" xfId="0" applyNumberFormat="1" applyFont="1" applyAlignment="1">
      <alignment vertical="center"/>
    </xf>
    <xf numFmtId="175" fontId="19" fillId="0" borderId="0" xfId="5" applyNumberFormat="1" applyFont="1" applyFill="1" applyBorder="1" applyAlignment="1" applyProtection="1">
      <alignment vertical="center"/>
    </xf>
    <xf numFmtId="169" fontId="20" fillId="12" borderId="9" xfId="0" applyNumberFormat="1" applyFont="1" applyFill="1" applyBorder="1" applyAlignment="1">
      <alignment horizontal="center" vertical="center" wrapText="1"/>
    </xf>
    <xf numFmtId="175" fontId="21" fillId="0" borderId="1" xfId="6" applyNumberFormat="1" applyFont="1" applyFill="1" applyBorder="1" applyAlignment="1" applyProtection="1">
      <alignment vertical="center"/>
      <protection locked="0"/>
    </xf>
    <xf numFmtId="175" fontId="21" fillId="0" borderId="1" xfId="6" quotePrefix="1" applyNumberFormat="1" applyFont="1" applyFill="1" applyBorder="1" applyAlignment="1" applyProtection="1">
      <alignment vertical="center"/>
      <protection locked="0"/>
    </xf>
    <xf numFmtId="9" fontId="21" fillId="0" borderId="1" xfId="7" applyFont="1" applyFill="1" applyBorder="1" applyAlignment="1" applyProtection="1">
      <alignment vertical="center"/>
    </xf>
    <xf numFmtId="175" fontId="21" fillId="0" borderId="0" xfId="6" applyNumberFormat="1" applyFont="1" applyFill="1" applyBorder="1" applyAlignment="1" applyProtection="1">
      <alignment vertical="center"/>
      <protection locked="0"/>
    </xf>
    <xf numFmtId="175" fontId="21" fillId="0" borderId="0" xfId="6" quotePrefix="1" applyNumberFormat="1" applyFont="1" applyFill="1" applyBorder="1" applyAlignment="1" applyProtection="1">
      <alignment vertical="center"/>
      <protection locked="0"/>
    </xf>
    <xf numFmtId="170" fontId="21" fillId="0" borderId="0" xfId="7" applyNumberFormat="1" applyFont="1" applyFill="1" applyBorder="1" applyAlignment="1" applyProtection="1">
      <alignment horizontal="center" vertical="center"/>
      <protection locked="0"/>
    </xf>
    <xf numFmtId="175" fontId="20" fillId="9" borderId="1" xfId="0" applyNumberFormat="1" applyFont="1" applyFill="1" applyBorder="1" applyAlignment="1">
      <alignment horizontal="center" vertical="center"/>
    </xf>
    <xf numFmtId="169" fontId="20" fillId="0" borderId="9" xfId="0" applyNumberFormat="1" applyFont="1" applyBorder="1" applyAlignment="1">
      <alignment horizontal="center" vertical="center" wrapText="1"/>
    </xf>
    <xf numFmtId="9" fontId="21" fillId="0" borderId="1" xfId="7" applyFont="1" applyFill="1" applyBorder="1" applyAlignment="1" applyProtection="1">
      <alignment vertical="center"/>
      <protection locked="0"/>
    </xf>
    <xf numFmtId="169" fontId="20" fillId="5" borderId="1" xfId="0" applyNumberFormat="1" applyFont="1" applyFill="1" applyBorder="1" applyAlignment="1">
      <alignment horizontal="center" vertical="center" wrapText="1"/>
    </xf>
    <xf numFmtId="175" fontId="21" fillId="13" borderId="1" xfId="6" applyNumberFormat="1" applyFont="1" applyFill="1" applyBorder="1" applyAlignment="1" applyProtection="1">
      <alignment vertical="center"/>
      <protection locked="0"/>
    </xf>
    <xf numFmtId="175" fontId="21" fillId="13" borderId="0" xfId="6" applyNumberFormat="1" applyFont="1" applyFill="1" applyBorder="1" applyAlignment="1" applyProtection="1">
      <alignment vertical="center"/>
      <protection locked="0"/>
    </xf>
    <xf numFmtId="9" fontId="21" fillId="13" borderId="1" xfId="7" applyFont="1" applyFill="1" applyBorder="1" applyAlignment="1" applyProtection="1">
      <alignment vertical="center"/>
      <protection locked="0"/>
    </xf>
    <xf numFmtId="0" fontId="21" fillId="13" borderId="1" xfId="0" applyFont="1" applyFill="1" applyBorder="1" applyAlignment="1">
      <alignment horizontal="center" vertical="center"/>
    </xf>
    <xf numFmtId="175" fontId="21" fillId="13" borderId="0" xfId="6" applyNumberFormat="1" applyFont="1" applyFill="1" applyBorder="1" applyAlignment="1" applyProtection="1">
      <alignment vertical="center" wrapText="1"/>
      <protection locked="0"/>
    </xf>
    <xf numFmtId="0" fontId="21" fillId="13" borderId="1" xfId="0" applyFont="1" applyFill="1" applyBorder="1" applyAlignment="1">
      <alignment vertical="center" wrapText="1"/>
    </xf>
    <xf numFmtId="0" fontId="21" fillId="13" borderId="1" xfId="0" applyFont="1" applyFill="1" applyBorder="1" applyAlignment="1">
      <alignment horizontal="left" vertical="center" wrapText="1"/>
    </xf>
    <xf numFmtId="171" fontId="21" fillId="5" borderId="1" xfId="4" applyNumberFormat="1" applyFont="1" applyFill="1" applyBorder="1" applyAlignment="1" applyProtection="1">
      <alignment horizontal="center" vertical="center"/>
      <protection locked="0"/>
    </xf>
    <xf numFmtId="171" fontId="18" fillId="0" borderId="0" xfId="0" applyNumberFormat="1" applyFont="1"/>
    <xf numFmtId="0" fontId="21" fillId="0" borderId="1" xfId="0" applyFont="1" applyBorder="1" applyAlignment="1">
      <alignment horizontal="left" vertical="center" wrapText="1"/>
    </xf>
    <xf numFmtId="0" fontId="18" fillId="8" borderId="1" xfId="0" applyFont="1" applyFill="1" applyBorder="1" applyAlignment="1">
      <alignment vertical="center" wrapText="1"/>
    </xf>
    <xf numFmtId="175" fontId="21" fillId="0" borderId="1" xfId="6" applyNumberFormat="1" applyFont="1" applyFill="1" applyBorder="1" applyAlignment="1" applyProtection="1">
      <alignment horizontal="right" vertical="center"/>
      <protection locked="0"/>
    </xf>
    <xf numFmtId="0" fontId="18" fillId="8" borderId="1" xfId="0" applyFont="1" applyFill="1" applyBorder="1" applyAlignment="1">
      <alignment horizontal="center" vertical="center"/>
    </xf>
    <xf numFmtId="175" fontId="21" fillId="8" borderId="1" xfId="6" applyNumberFormat="1" applyFont="1" applyFill="1" applyBorder="1" applyAlignment="1" applyProtection="1">
      <alignment vertical="center"/>
      <protection locked="0"/>
    </xf>
    <xf numFmtId="0" fontId="18" fillId="13" borderId="0" xfId="0" applyFont="1" applyFill="1"/>
    <xf numFmtId="0" fontId="13" fillId="2" borderId="0" xfId="1" applyFont="1" applyFill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7" fillId="4" borderId="1" xfId="1" applyFont="1" applyFill="1" applyBorder="1" applyAlignment="1">
      <alignment horizontal="left" vertical="center"/>
    </xf>
    <xf numFmtId="0" fontId="5" fillId="0" borderId="1" xfId="1" applyFont="1" applyBorder="1" applyAlignment="1">
      <alignment horizontal="left" vertical="center" wrapText="1"/>
    </xf>
    <xf numFmtId="0" fontId="20" fillId="9" borderId="20" xfId="0" applyFont="1" applyFill="1" applyBorder="1" applyAlignment="1">
      <alignment horizontal="right" vertical="center"/>
    </xf>
    <xf numFmtId="0" fontId="20" fillId="9" borderId="12" xfId="0" applyFont="1" applyFill="1" applyBorder="1" applyAlignment="1">
      <alignment horizontal="right" vertical="center"/>
    </xf>
    <xf numFmtId="0" fontId="22" fillId="0" borderId="20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0" fillId="12" borderId="24" xfId="0" applyFont="1" applyFill="1" applyBorder="1" applyAlignment="1">
      <alignment horizontal="right" vertical="center"/>
    </xf>
    <xf numFmtId="0" fontId="20" fillId="12" borderId="4" xfId="0" applyFont="1" applyFill="1" applyBorder="1" applyAlignment="1">
      <alignment horizontal="right" vertical="center"/>
    </xf>
    <xf numFmtId="0" fontId="20" fillId="12" borderId="23" xfId="0" applyFont="1" applyFill="1" applyBorder="1" applyAlignment="1">
      <alignment horizontal="right" vertical="center"/>
    </xf>
    <xf numFmtId="0" fontId="20" fillId="12" borderId="16" xfId="0" applyFont="1" applyFill="1" applyBorder="1" applyAlignment="1">
      <alignment horizontal="right" vertical="center"/>
    </xf>
    <xf numFmtId="0" fontId="20" fillId="14" borderId="9" xfId="0" applyFont="1" applyFill="1" applyBorder="1" applyAlignment="1">
      <alignment horizontal="center" vertical="center" wrapText="1"/>
    </xf>
    <xf numFmtId="0" fontId="20" fillId="14" borderId="1" xfId="0" applyFont="1" applyFill="1" applyBorder="1" applyAlignment="1">
      <alignment horizontal="center" vertical="center"/>
    </xf>
    <xf numFmtId="0" fontId="21" fillId="8" borderId="5" xfId="0" applyFont="1" applyFill="1" applyBorder="1" applyAlignment="1">
      <alignment horizontal="center" vertical="center" wrapText="1"/>
    </xf>
    <xf numFmtId="0" fontId="21" fillId="8" borderId="6" xfId="0" applyFont="1" applyFill="1" applyBorder="1" applyAlignment="1">
      <alignment horizontal="center" vertical="center" wrapText="1"/>
    </xf>
    <xf numFmtId="0" fontId="21" fillId="8" borderId="7" xfId="0" applyFont="1" applyFill="1" applyBorder="1" applyAlignment="1">
      <alignment horizontal="center" vertical="center" wrapText="1"/>
    </xf>
    <xf numFmtId="0" fontId="21" fillId="8" borderId="8" xfId="0" applyFont="1" applyFill="1" applyBorder="1" applyAlignment="1">
      <alignment horizontal="center" vertical="center" wrapText="1"/>
    </xf>
    <xf numFmtId="0" fontId="21" fillId="8" borderId="9" xfId="0" applyFont="1" applyFill="1" applyBorder="1" applyAlignment="1">
      <alignment horizontal="center" vertical="center" wrapText="1"/>
    </xf>
    <xf numFmtId="0" fontId="21" fillId="8" borderId="10" xfId="0" applyFont="1" applyFill="1" applyBorder="1" applyAlignment="1">
      <alignment horizontal="center" vertical="center" wrapText="1"/>
    </xf>
    <xf numFmtId="0" fontId="20" fillId="12" borderId="22" xfId="0" applyFont="1" applyFill="1" applyBorder="1" applyAlignment="1">
      <alignment horizontal="right" vertical="center"/>
    </xf>
    <xf numFmtId="0" fontId="20" fillId="12" borderId="6" xfId="0" applyFont="1" applyFill="1" applyBorder="1" applyAlignment="1">
      <alignment horizontal="right" vertical="center"/>
    </xf>
    <xf numFmtId="0" fontId="20" fillId="12" borderId="7" xfId="0" applyFont="1" applyFill="1" applyBorder="1" applyAlignment="1">
      <alignment horizontal="right" vertical="center"/>
    </xf>
    <xf numFmtId="0" fontId="20" fillId="12" borderId="1" xfId="0" applyFont="1" applyFill="1" applyBorder="1" applyAlignment="1">
      <alignment horizontal="right" vertical="center"/>
    </xf>
    <xf numFmtId="0" fontId="22" fillId="0" borderId="1" xfId="0" applyFont="1" applyBorder="1" applyAlignment="1">
      <alignment horizontal="center" vertical="center" wrapText="1"/>
    </xf>
    <xf numFmtId="0" fontId="20" fillId="12" borderId="8" xfId="0" applyFont="1" applyFill="1" applyBorder="1" applyAlignment="1">
      <alignment horizontal="center" vertical="center" wrapText="1"/>
    </xf>
    <xf numFmtId="0" fontId="20" fillId="12" borderId="9" xfId="0" applyFont="1" applyFill="1" applyBorder="1" applyAlignment="1">
      <alignment horizontal="center" vertical="center" wrapText="1"/>
    </xf>
    <xf numFmtId="0" fontId="19" fillId="10" borderId="5" xfId="0" applyFont="1" applyFill="1" applyBorder="1" applyAlignment="1">
      <alignment horizontal="center" vertical="center" wrapText="1"/>
    </xf>
    <xf numFmtId="0" fontId="19" fillId="10" borderId="6" xfId="0" applyFont="1" applyFill="1" applyBorder="1" applyAlignment="1">
      <alignment horizontal="center" vertical="center" wrapText="1"/>
    </xf>
    <xf numFmtId="0" fontId="19" fillId="10" borderId="7" xfId="0" applyFont="1" applyFill="1" applyBorder="1" applyAlignment="1">
      <alignment horizontal="center" vertical="center" wrapText="1"/>
    </xf>
    <xf numFmtId="0" fontId="20" fillId="14" borderId="25" xfId="0" applyFont="1" applyFill="1" applyBorder="1" applyAlignment="1">
      <alignment horizontal="center" vertical="center" wrapText="1"/>
    </xf>
    <xf numFmtId="0" fontId="20" fillId="14" borderId="25" xfId="0" applyFont="1" applyFill="1" applyBorder="1" applyAlignment="1">
      <alignment horizontal="center" vertical="center"/>
    </xf>
    <xf numFmtId="0" fontId="21" fillId="8" borderId="25" xfId="0" applyFont="1" applyFill="1" applyBorder="1" applyAlignment="1">
      <alignment horizontal="center" vertical="center" wrapText="1"/>
    </xf>
    <xf numFmtId="0" fontId="18" fillId="8" borderId="0" xfId="0" applyFont="1" applyFill="1" applyAlignment="1">
      <alignment vertical="center"/>
    </xf>
  </cellXfs>
  <cellStyles count="9">
    <cellStyle name="Millares" xfId="4" builtinId="3"/>
    <cellStyle name="Millares [0]" xfId="5" builtinId="6"/>
    <cellStyle name="Moneda [0]" xfId="6" builtinId="7"/>
    <cellStyle name="Moneda [0] 2" xfId="2" xr:uid="{CF0E7FF6-8B35-459D-B227-DE3840A82F78}"/>
    <cellStyle name="Normal" xfId="0" builtinId="0"/>
    <cellStyle name="Normal 2" xfId="1" xr:uid="{8CFD9210-E4D5-4BD6-9419-011913A13D0D}"/>
    <cellStyle name="Normal 2 2" xfId="8" xr:uid="{4FA43E0F-0D60-4F81-ACC8-94B0F1D1025D}"/>
    <cellStyle name="Porcentaje" xfId="7" builtinId="5"/>
    <cellStyle name="Porcentaje 2" xfId="3" xr:uid="{0190D47D-E77F-49A6-A9BA-FC6773B2CE3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drea Lorena Beracasa Villarraga" id="{0BCEFD08-714B-473B-B749-6E7CF09EF38F}" userId="17a85ba4e9aa34f8" providerId="Windows Live"/>
  <person displayName="Andrea Johanna Parra Triana" id="{E4685F32-7C27-0C43-8096-B50DE1A81C34}" userId="S::aparrat@mineducacion.gov.co::0c2c28c0-a81d-461e-9a6e-4eedeb2a1a0c" providerId="AD"/>
  <person displayName="Daniel Jose Sanchez Bermudez" id="{BC1A7DC3-6F00-472E-9105-9F9EEF81EEA5}" userId="S::dasanchezb@mineducacion.gov.co::e77832af-7b55-4b98-8207-a96335228af9" providerId="AD"/>
  <person displayName="Natalia Echeverri Uribe" id="{4D71547A-83D9-4E82-8254-0D5C5C0DDB91}" userId="S::necheverri@mineducacion.gov.co::96bea011-704e-4a51-9a67-d4304b37623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3" dT="2025-02-18T23:06:14.41" personId="{0BCEFD08-714B-473B-B749-6E7CF09EF38F}" id="{9395003B-FD3B-4C16-8167-FB0AE76AA022}">
    <text>No de Encuentros</text>
  </threadedComment>
  <threadedComment ref="F13" dT="2025-02-18T22:07:58.48" personId="{0BCEFD08-714B-473B-B749-6E7CF09EF38F}" id="{7E75CB1C-61E1-4252-9683-A4AD757988FE}">
    <text>Número de sedes</text>
  </threadedComment>
  <threadedComment ref="E14" dT="2025-02-18T22:42:36.18" personId="{0BCEFD08-714B-473B-B749-6E7CF09EF38F}" id="{8055BAE5-2283-4BDE-9847-DBCB0E599AE3}">
    <text>No de Transportes terrestres</text>
  </threadedComment>
  <threadedComment ref="E16" dT="2025-02-18T22:19:26.52" personId="{0BCEFD08-714B-473B-B749-6E7CF09EF38F}" id="{A9D948E9-F003-4DBD-9CBA-5C346F6F99F5}">
    <text>Número Total de Visitas</text>
  </threadedComment>
  <threadedComment ref="F16" dT="2025-02-18T22:19:40.48" personId="{0BCEFD08-714B-473B-B749-6E7CF09EF38F}" id="{D6ED984C-17A6-45E5-A0B1-106FABC21560}">
    <text>No de Profesionales</text>
  </threadedComment>
  <threadedComment ref="E17" dT="2025-03-03T23:38:22.18" personId="{0BCEFD08-714B-473B-B749-6E7CF09EF38F}" id="{C61CAC44-0702-4456-8706-BE014C6F1E93}">
    <text>No de personas asistentes (# de refrigerios requeridos)</text>
  </threadedComment>
  <threadedComment ref="F17" dT="2025-03-03T23:39:06.07" personId="{0BCEFD08-714B-473B-B749-6E7CF09EF38F}" id="{F9E326EE-00A8-4276-BC80-636BCA0A1F35}">
    <text>No. de encuentros</text>
  </threadedComment>
  <threadedComment ref="E18" dT="2025-02-17T23:44:30.87" personId="{E4685F32-7C27-0C43-8096-B50DE1A81C34}" id="{DA3DC245-ECE9-4070-B92E-344434DA4506}">
    <text>Horas en total proyecto</text>
  </threadedComment>
  <threadedComment ref="E19" dT="2025-02-18T22:33:08.75" personId="{0BCEFD08-714B-473B-B749-6E7CF09EF38F}" id="{0E8AACD3-6180-4B6A-8C9E-92832559EE1F}">
    <text xml:space="preserve">24 días de viáticos* (12 por persona), 20 sedes
</text>
  </threadedComment>
  <threadedComment ref="F19" dT="2025-02-18T22:07:58.48" personId="{0BCEFD08-714B-473B-B749-6E7CF09EF38F}" id="{C5ECCD76-F19C-481B-879F-C17EAEFFD566}">
    <text>Número de sedes</text>
  </threadedComment>
  <threadedComment ref="E20" dT="2025-03-03T23:50:56.15" personId="{0BCEFD08-714B-473B-B749-6E7CF09EF38F}" id="{C1D204E3-16B1-42FA-9282-8B86A67E3719}">
    <text>No de Visitas (# de transportes terrestres)</text>
  </threadedComment>
  <threadedComment ref="F20" dT="2025-02-18T20:11:26.85" personId="{BC1A7DC3-6F00-472E-9105-9F9EEF81EEA5}" id="{5EE0795E-8D00-45B6-8090-DAF3791BCACE}">
    <text>No de personas</text>
  </threadedComment>
  <threadedComment ref="E21" dT="2025-02-18T22:55:23.36" personId="{0BCEFD08-714B-473B-B749-6E7CF09EF38F}" id="{80387F01-B8D9-4C95-B238-20A6235CB40E}">
    <text>No de Certificados</text>
  </threadedComment>
  <threadedComment ref="E22" dT="2025-02-18T22:45:50.44" personId="{0BCEFD08-714B-473B-B749-6E7CF09EF38F}" id="{437A550B-DAA5-4845-B756-1BC9992F7030}">
    <text>Paquete de materiales</text>
  </threadedComment>
  <threadedComment ref="F22" dT="2025-02-18T22:46:00.23" personId="{0BCEFD08-714B-473B-B749-6E7CF09EF38F}" id="{6FD53488-3D56-43DE-B53C-061FC572AB92}">
    <text>No de Sedes</text>
  </threadedComment>
  <threadedComment ref="E24" dT="2025-02-18T22:46:34.47" personId="{0BCEFD08-714B-473B-B749-6E7CF09EF38F}" id="{3025CB6D-31DF-45D7-8CDB-61018098D64F}">
    <text>No de Horas</text>
  </threadedComment>
  <threadedComment ref="F24" dT="2025-02-18T22:46:00.23" personId="{0BCEFD08-714B-473B-B749-6E7CF09EF38F}" id="{51D0CE77-2DD7-4942-9C03-6A807D6F6C05}">
    <text>No de Sedes</text>
  </threadedComment>
  <threadedComment ref="E25" dT="2025-02-18T20:11:35.22" personId="{BC1A7DC3-6F00-472E-9105-9F9EEF81EEA5}" id="{E4E4D818-BFF1-450E-966F-34C09D7798C5}">
    <text>No de Visitas</text>
  </threadedComment>
  <threadedComment ref="E26" dT="2025-02-18T20:11:35.22" personId="{BC1A7DC3-6F00-472E-9105-9F9EEF81EEA5}" id="{7C916B2A-B9E5-482E-8569-D673106F9CDA}">
    <text>No de Visitas</text>
  </threadedComment>
  <threadedComment ref="E27" dT="2025-02-18T22:47:28.74" personId="{0BCEFD08-714B-473B-B749-6E7CF09EF38F}" id="{3764F15B-BB9C-4EAC-B5C2-F7FC8D53900E}">
    <text>Rueda de Negocios por Sede</text>
  </threadedComment>
  <threadedComment ref="F27" dT="2025-02-18T22:46:00.23" personId="{0BCEFD08-714B-473B-B749-6E7CF09EF38F}" id="{C52B1A8E-00F3-45AA-AEA0-D6636017E4EA}">
    <text>No de Sedes</text>
  </threadedComment>
  <threadedComment ref="F28" dT="2025-02-18T22:48:52.11" personId="{0BCEFD08-714B-473B-B749-6E7CF09EF38F}" id="{49CE9779-77B4-4959-8B3F-7D04FC2867F8}">
    <text>No de Sedes, se contemplan dotaciones hasta por $160.000.000 para cada sede</text>
  </threadedComment>
  <threadedComment ref="E30" dT="2025-02-18T22:49:37.83" personId="{0BCEFD08-714B-473B-B749-6E7CF09EF38F}" id="{A83A27CA-E166-4956-91B4-F2D02E69FFB7}">
    <text>No de Visitas</text>
  </threadedComment>
  <threadedComment ref="E31" dT="2025-02-18T22:49:37.83" personId="{0BCEFD08-714B-473B-B749-6E7CF09EF38F}" id="{E0FA4676-171D-4CC0-AA6F-999A6FB1C1F4}">
    <text>No de Visitas</text>
  </threadedComment>
  <threadedComment ref="E33" dT="2025-02-18T22:50:10.25" personId="{0BCEFD08-714B-473B-B749-6E7CF09EF38F}" id="{5BC2B681-DB8D-4162-9A32-9A211476C47A}">
    <text xml:space="preserve">No de Personas </text>
  </threadedComment>
  <threadedComment ref="F33" dT="2025-02-18T22:50:20.82" personId="{0BCEFD08-714B-473B-B749-6E7CF09EF38F}" id="{0DF2DBC0-CE47-4275-876A-6D8C853D3723}">
    <text>No de días</text>
  </threadedComment>
  <threadedComment ref="E34" dT="2025-02-18T22:50:10.25" personId="{0BCEFD08-714B-473B-B749-6E7CF09EF38F}" id="{F94E9C46-F18F-4B4D-A387-C18B42D75715}">
    <text xml:space="preserve">No de Personas </text>
  </threadedComment>
  <threadedComment ref="F34" dT="2025-02-18T22:50:40.68" personId="{0BCEFD08-714B-473B-B749-6E7CF09EF38F}" id="{AAD83A08-CCAB-46FB-B510-D46019A3C282}">
    <text>No de Visitas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3" dT="2025-02-18T23:06:14.41" personId="{0BCEFD08-714B-473B-B749-6E7CF09EF38F}" id="{01959DC7-0DA4-4318-AD86-0E339D0E0308}">
    <text>No de Encuentros</text>
  </threadedComment>
  <threadedComment ref="F13" dT="2025-02-18T22:07:58.48" personId="{0BCEFD08-714B-473B-B749-6E7CF09EF38F}" id="{018602E9-06D3-4345-A269-870B52F84376}">
    <text>Número de sedes</text>
  </threadedComment>
  <threadedComment ref="E14" dT="2025-02-18T22:42:36.18" personId="{0BCEFD08-714B-473B-B749-6E7CF09EF38F}" id="{0F3F71F4-9C2B-460A-BF35-08B83497CD85}">
    <text>No de Transportes terrestres</text>
  </threadedComment>
  <threadedComment ref="E16" dT="2025-02-18T22:19:26.52" personId="{0BCEFD08-714B-473B-B749-6E7CF09EF38F}" id="{0C84B449-0B1A-4F69-AED7-380B9D2669D6}">
    <text>Número Total de Visitas</text>
  </threadedComment>
  <threadedComment ref="F16" dT="2025-02-18T22:19:40.48" personId="{0BCEFD08-714B-473B-B749-6E7CF09EF38F}" id="{60B2E99C-3AB8-46BD-A2DA-0FB42A4FF5E3}">
    <text>No de Profesionales</text>
  </threadedComment>
  <threadedComment ref="E17" dT="2025-03-03T23:38:22.18" personId="{0BCEFD08-714B-473B-B749-6E7CF09EF38F}" id="{AA4A5888-EA82-4CAD-AFFA-98DDF90D982B}">
    <text>No de personas asistentes (# de refrigerios requeridos)</text>
  </threadedComment>
  <threadedComment ref="F17" dT="2025-03-03T23:39:06.07" personId="{0BCEFD08-714B-473B-B749-6E7CF09EF38F}" id="{4A55F71E-FF77-46B4-A68B-D2320829F2B7}">
    <text>No. de encuentros</text>
  </threadedComment>
  <threadedComment ref="E18" dT="2025-02-17T23:44:30.87" personId="{E4685F32-7C27-0C43-8096-B50DE1A81C34}" id="{8B9589BE-89B0-4450-A553-0E8392FBC5B2}">
    <text>Horas en total proyecto</text>
  </threadedComment>
  <threadedComment ref="E19" dT="2025-02-18T22:33:08.75" personId="{0BCEFD08-714B-473B-B749-6E7CF09EF38F}" id="{5D2983B1-A300-4CB8-B367-7077D028803D}">
    <text xml:space="preserve">24 días de viáticos* (12 por persona), 20 sedes
</text>
  </threadedComment>
  <threadedComment ref="F19" dT="2025-02-18T22:07:58.48" personId="{0BCEFD08-714B-473B-B749-6E7CF09EF38F}" id="{364DD27A-97A5-4603-AA14-75EC01185A45}">
    <text>Número de sedes</text>
  </threadedComment>
  <threadedComment ref="E20" dT="2025-03-03T23:50:56.15" personId="{0BCEFD08-714B-473B-B749-6E7CF09EF38F}" id="{2EAF1F0B-8C5F-4CE8-9997-DDB3F1B58910}">
    <text>No de Visitas (# de transportes terrestres)</text>
  </threadedComment>
  <threadedComment ref="F20" dT="2025-02-18T20:11:26.85" personId="{BC1A7DC3-6F00-472E-9105-9F9EEF81EEA5}" id="{13437B55-44B5-4AEB-99D9-5CA834D0D165}">
    <text>No de personas</text>
  </threadedComment>
  <threadedComment ref="E21" dT="2025-02-18T22:55:23.36" personId="{0BCEFD08-714B-473B-B749-6E7CF09EF38F}" id="{16EF69DA-648B-41F9-81AF-1D63EE3FCFA5}">
    <text>No de Certificados</text>
  </threadedComment>
  <threadedComment ref="E22" dT="2025-02-18T22:45:50.44" personId="{0BCEFD08-714B-473B-B749-6E7CF09EF38F}" id="{ED198E73-80D7-408A-9083-795334F54917}">
    <text>Paquete de materiales</text>
  </threadedComment>
  <threadedComment ref="F22" dT="2025-02-18T22:46:00.23" personId="{0BCEFD08-714B-473B-B749-6E7CF09EF38F}" id="{4BA18576-CB5B-4CC7-B7EB-B1177EE1E7F2}">
    <text>No de Sedes</text>
  </threadedComment>
  <threadedComment ref="E24" dT="2025-02-18T22:46:34.47" personId="{0BCEFD08-714B-473B-B749-6E7CF09EF38F}" id="{6B73F9F4-D8CB-494D-B1ED-AB0B343BDAC4}">
    <text>No de Horas</text>
  </threadedComment>
  <threadedComment ref="F24" dT="2025-02-18T22:46:00.23" personId="{0BCEFD08-714B-473B-B749-6E7CF09EF38F}" id="{30507D57-9D83-4DE9-9D26-E11D98FD388D}">
    <text>No de Sedes</text>
  </threadedComment>
  <threadedComment ref="E25" dT="2025-02-18T20:11:35.22" personId="{BC1A7DC3-6F00-472E-9105-9F9EEF81EEA5}" id="{6916D82E-3674-402B-A7E4-18448EA02A64}">
    <text>No de Visitas</text>
  </threadedComment>
  <threadedComment ref="E26" dT="2025-02-18T20:11:35.22" personId="{BC1A7DC3-6F00-472E-9105-9F9EEF81EEA5}" id="{AFAC99A0-8FFB-45F5-813D-4118125E1C43}">
    <text>No de Visitas</text>
  </threadedComment>
  <threadedComment ref="E27" dT="2025-02-18T22:47:28.74" personId="{0BCEFD08-714B-473B-B749-6E7CF09EF38F}" id="{357A0F43-AD02-497B-A3D3-8463892787B3}">
    <text>Rueda de Negocios por Sede</text>
  </threadedComment>
  <threadedComment ref="F27" dT="2025-02-18T22:46:00.23" personId="{0BCEFD08-714B-473B-B749-6E7CF09EF38F}" id="{F84B20B8-AE43-45F1-9753-EC20839A134D}">
    <text>No de Sedes</text>
  </threadedComment>
  <threadedComment ref="F28" dT="2025-02-18T22:48:52.11" personId="{0BCEFD08-714B-473B-B749-6E7CF09EF38F}" id="{55B926E6-C257-4A85-8FD2-298ABBFE9966}">
    <text>No de Sedes, se contemplan dotaciones hasta por $160.000.000 para cada sede</text>
  </threadedComment>
  <threadedComment ref="E30" dT="2025-02-18T22:49:37.83" personId="{0BCEFD08-714B-473B-B749-6E7CF09EF38F}" id="{A4D81F73-1CFD-464A-83CE-90C84CB94BF7}">
    <text>No de Visitas</text>
  </threadedComment>
  <threadedComment ref="E31" dT="2025-02-18T22:49:37.83" personId="{0BCEFD08-714B-473B-B749-6E7CF09EF38F}" id="{5BEB5A39-CFD5-4497-BC02-02CE0270E6E8}">
    <text>No de Visitas</text>
  </threadedComment>
  <threadedComment ref="E33" dT="2025-02-18T22:50:10.25" personId="{0BCEFD08-714B-473B-B749-6E7CF09EF38F}" id="{4D094572-9B43-4349-B962-9C047D58EF5C}">
    <text xml:space="preserve">No de Personas </text>
  </threadedComment>
  <threadedComment ref="F33" dT="2025-02-18T22:50:20.82" personId="{0BCEFD08-714B-473B-B749-6E7CF09EF38F}" id="{22BE3EAC-867B-4FE4-9A57-31A2E35F21A2}">
    <text>No de días</text>
  </threadedComment>
  <threadedComment ref="E34" dT="2025-02-18T22:50:10.25" personId="{0BCEFD08-714B-473B-B749-6E7CF09EF38F}" id="{5407E34E-B016-4617-BB9D-A4DA8123105A}">
    <text xml:space="preserve">No de Personas </text>
  </threadedComment>
  <threadedComment ref="F34" dT="2025-02-18T22:50:40.68" personId="{0BCEFD08-714B-473B-B749-6E7CF09EF38F}" id="{BD76F92C-4259-4E95-A808-5943EF7A5297}">
    <text>No de Visitas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E13" dT="2025-02-18T23:06:14.41" personId="{0BCEFD08-714B-473B-B749-6E7CF09EF38F}" id="{CBFE31B2-CA7E-46B2-8877-EC021D710DF5}">
    <text>No de Encuentros</text>
  </threadedComment>
  <threadedComment ref="F13" dT="2025-02-18T22:07:58.48" personId="{0BCEFD08-714B-473B-B749-6E7CF09EF38F}" id="{45036EA3-DF88-4C49-9E1E-F2DF53F9378E}">
    <text>Número de sedes</text>
  </threadedComment>
  <threadedComment ref="E14" dT="2025-02-18T22:42:36.18" personId="{0BCEFD08-714B-473B-B749-6E7CF09EF38F}" id="{41CD3897-645A-4256-9A65-4D805BC18BD9}">
    <text>No de Transportes terrestres</text>
  </threadedComment>
  <threadedComment ref="E16" dT="2025-02-18T22:19:26.52" personId="{0BCEFD08-714B-473B-B749-6E7CF09EF38F}" id="{2DBD6649-81EC-43D1-ACB4-50436D4F0295}">
    <text>Número Total de Visitas</text>
  </threadedComment>
  <threadedComment ref="F16" dT="2025-02-18T22:19:40.48" personId="{0BCEFD08-714B-473B-B749-6E7CF09EF38F}" id="{73BFD6A5-4477-4EDF-A60A-64E9464E271A}">
    <text>No de Profesionales</text>
  </threadedComment>
  <threadedComment ref="E17" dT="2025-03-03T23:38:22.18" personId="{0BCEFD08-714B-473B-B749-6E7CF09EF38F}" id="{4CAD05B1-5C11-4E64-9FEA-EA79E39B4FAD}">
    <text>No de personas asistentes (# de refrigerios requeridos)</text>
  </threadedComment>
  <threadedComment ref="F17" dT="2025-03-03T23:39:06.07" personId="{0BCEFD08-714B-473B-B749-6E7CF09EF38F}" id="{2AE9229E-8EB2-427C-9CCD-8B19262B0EAE}">
    <text>No. de encuentros</text>
  </threadedComment>
  <threadedComment ref="E18" dT="2025-02-17T23:44:30.87" personId="{E4685F32-7C27-0C43-8096-B50DE1A81C34}" id="{6F9BF4C0-4798-45E7-802F-CB0C59B371F3}">
    <text>Horas en total proyecto</text>
  </threadedComment>
  <threadedComment ref="E19" dT="2025-02-18T22:33:08.75" personId="{0BCEFD08-714B-473B-B749-6E7CF09EF38F}" id="{C019FDE4-5E96-4773-A896-0402F4F1B18C}">
    <text xml:space="preserve">24 días de viáticos* (12 por persona), 20 sedes
</text>
  </threadedComment>
  <threadedComment ref="F19" dT="2025-02-18T22:07:58.48" personId="{0BCEFD08-714B-473B-B749-6E7CF09EF38F}" id="{6A881C5F-202C-4B95-8ECE-D5DA500C83A7}">
    <text>Número de sedes</text>
  </threadedComment>
  <threadedComment ref="E20" dT="2025-03-03T23:50:56.15" personId="{0BCEFD08-714B-473B-B749-6E7CF09EF38F}" id="{184951F8-97D0-4877-8ED0-C431A2B3014F}">
    <text>No de Visitas (# de transportes terrestres)</text>
  </threadedComment>
  <threadedComment ref="F20" dT="2025-02-18T20:11:26.85" personId="{BC1A7DC3-6F00-472E-9105-9F9EEF81EEA5}" id="{12D5C31C-B317-4A51-B528-D7052B1DDC4C}">
    <text>No de personas</text>
  </threadedComment>
  <threadedComment ref="E21" dT="2025-02-18T22:55:23.36" personId="{0BCEFD08-714B-473B-B749-6E7CF09EF38F}" id="{A053F96B-541E-4E37-AC57-B1BB6CCCD7E9}">
    <text>No de Certificados</text>
  </threadedComment>
  <threadedComment ref="E22" dT="2025-02-18T22:45:50.44" personId="{0BCEFD08-714B-473B-B749-6E7CF09EF38F}" id="{4F46942C-AF85-447D-AD9D-39FDE908E127}">
    <text>Paquete de materiales</text>
  </threadedComment>
  <threadedComment ref="F22" dT="2025-02-18T22:46:00.23" personId="{0BCEFD08-714B-473B-B749-6E7CF09EF38F}" id="{4E797809-0A9E-488E-9115-A4DE716C5230}">
    <text>No de Sedes</text>
  </threadedComment>
  <threadedComment ref="E24" dT="2025-02-18T22:46:34.47" personId="{0BCEFD08-714B-473B-B749-6E7CF09EF38F}" id="{2996782A-112C-44F3-B0F6-AA009F09D0E4}">
    <text>No de Horas</text>
  </threadedComment>
  <threadedComment ref="F24" dT="2025-02-18T22:46:00.23" personId="{0BCEFD08-714B-473B-B749-6E7CF09EF38F}" id="{300ECCF6-BC99-4A22-A668-9B3949D9A2B5}">
    <text>No de Sedes</text>
  </threadedComment>
  <threadedComment ref="E25" dT="2025-02-18T20:11:35.22" personId="{BC1A7DC3-6F00-472E-9105-9F9EEF81EEA5}" id="{800D3F42-8357-4474-82DF-C2DAE054B5A5}">
    <text>No de Visitas</text>
  </threadedComment>
  <threadedComment ref="E26" dT="2025-02-18T20:11:35.22" personId="{BC1A7DC3-6F00-472E-9105-9F9EEF81EEA5}" id="{EB4C5BC0-340D-4D3E-AD51-E945C90BE2EB}">
    <text>No de Visitas</text>
  </threadedComment>
  <threadedComment ref="E27" dT="2025-02-18T22:47:28.74" personId="{0BCEFD08-714B-473B-B749-6E7CF09EF38F}" id="{BA46DFD6-85E2-4C49-A84C-599C2648CA36}">
    <text>Rueda de Negocios por Sede</text>
  </threadedComment>
  <threadedComment ref="F27" dT="2025-02-18T22:46:00.23" personId="{0BCEFD08-714B-473B-B749-6E7CF09EF38F}" id="{ACA5BA43-738A-4641-A526-085FB203E691}">
    <text>No de Sedes</text>
  </threadedComment>
  <threadedComment ref="F28" dT="2025-02-18T22:48:52.11" personId="{0BCEFD08-714B-473B-B749-6E7CF09EF38F}" id="{E989CB8D-F789-4E60-80FB-D2488AA8AFEB}">
    <text>No de Sedes, se contemplan dotaciones hasta por $160.000.000 para cada sede</text>
  </threadedComment>
  <threadedComment ref="E30" dT="2025-02-18T22:49:37.83" personId="{0BCEFD08-714B-473B-B749-6E7CF09EF38F}" id="{D86FDB34-93CD-4750-8E9A-B727B42C2623}">
    <text>No de Visitas</text>
  </threadedComment>
  <threadedComment ref="E31" dT="2025-02-18T22:49:37.83" personId="{0BCEFD08-714B-473B-B749-6E7CF09EF38F}" id="{79AF073A-B233-4495-A958-A5751B2033A9}">
    <text>No de Visitas</text>
  </threadedComment>
  <threadedComment ref="E33" dT="2025-02-18T22:50:10.25" personId="{0BCEFD08-714B-473B-B749-6E7CF09EF38F}" id="{F6D8922E-2041-4C77-AF9C-E3E566EC92CD}">
    <text xml:space="preserve">No de Personas </text>
  </threadedComment>
  <threadedComment ref="F33" dT="2025-02-18T22:50:20.82" personId="{0BCEFD08-714B-473B-B749-6E7CF09EF38F}" id="{98F892D3-73D3-43E9-A489-90874A09DD50}">
    <text>No de días</text>
  </threadedComment>
  <threadedComment ref="E34" dT="2025-02-18T22:50:10.25" personId="{0BCEFD08-714B-473B-B749-6E7CF09EF38F}" id="{53E0AFA3-DEE4-488B-A714-8C0B18AA6252}">
    <text xml:space="preserve">No de Personas </text>
  </threadedComment>
  <threadedComment ref="F34" dT="2025-02-18T22:50:40.68" personId="{0BCEFD08-714B-473B-B749-6E7CF09EF38F}" id="{FAB227DC-6A56-4404-A013-71FC5A726AE5}">
    <text>No de Visitas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E13" dT="2025-02-18T23:06:14.41" personId="{0BCEFD08-714B-473B-B749-6E7CF09EF38F}" id="{29655B7A-FEAC-4CF7-A2E0-E395B3A277CF}">
    <text>No de Encuentros</text>
  </threadedComment>
  <threadedComment ref="F13" dT="2025-02-18T22:07:58.48" personId="{0BCEFD08-714B-473B-B749-6E7CF09EF38F}" id="{88BBD3A6-19FF-4DCD-A6A0-FC2D0BD692BE}">
    <text>Número de sedes</text>
  </threadedComment>
  <threadedComment ref="E14" dT="2025-02-18T22:42:36.18" personId="{0BCEFD08-714B-473B-B749-6E7CF09EF38F}" id="{51889E8A-3F31-48B3-9D5C-8B48C1AB047C}">
    <text>No de Transportes terrestres</text>
  </threadedComment>
  <threadedComment ref="E16" dT="2025-02-18T22:19:26.52" personId="{0BCEFD08-714B-473B-B749-6E7CF09EF38F}" id="{C035E8EB-1B81-40CA-BF55-18CCB761312B}">
    <text>Número Total de Visitas</text>
  </threadedComment>
  <threadedComment ref="F16" dT="2025-02-18T22:19:40.48" personId="{0BCEFD08-714B-473B-B749-6E7CF09EF38F}" id="{51E0CFD1-24A4-45CD-8728-DB70A84BB330}">
    <text>No de Profesionales</text>
  </threadedComment>
  <threadedComment ref="E17" dT="2025-03-03T23:38:22.18" personId="{0BCEFD08-714B-473B-B749-6E7CF09EF38F}" id="{5A144507-098A-44AB-9136-600574A7FA4C}">
    <text>No de personas asistentes (# de refrigerios requeridos)</text>
  </threadedComment>
  <threadedComment ref="F17" dT="2025-03-03T23:39:06.07" personId="{0BCEFD08-714B-473B-B749-6E7CF09EF38F}" id="{6E92F111-61E0-4696-805A-BEDC5CA7FD85}">
    <text>No. de encuentros</text>
  </threadedComment>
  <threadedComment ref="E18" dT="2025-02-18T22:33:08.75" personId="{0BCEFD08-714B-473B-B749-6E7CF09EF38F}" id="{14154376-7357-44A6-AF79-72C19AD7F228}">
    <text xml:space="preserve">24 días de viáticos* (12 por persona), 20 sedes
</text>
  </threadedComment>
  <threadedComment ref="F18" dT="2025-02-18T22:07:58.48" personId="{0BCEFD08-714B-473B-B749-6E7CF09EF38F}" id="{8CE7312D-F58B-4F5C-8DA6-A3EBAEEFB689}">
    <text>Número de sedes</text>
  </threadedComment>
  <threadedComment ref="E19" dT="2025-03-03T23:50:56.15" personId="{0BCEFD08-714B-473B-B749-6E7CF09EF38F}" id="{63A874A7-40D6-4B36-9326-9F6ED3891CBB}">
    <text>No de Visitas (# de transportes terrestres)</text>
  </threadedComment>
  <threadedComment ref="F19" dT="2025-02-18T20:11:26.85" personId="{BC1A7DC3-6F00-472E-9105-9F9EEF81EEA5}" id="{A7EE753A-46CD-4993-BF3B-433BF122BADE}">
    <text>No de personas</text>
  </threadedComment>
  <threadedComment ref="E20" dT="2025-02-18T22:55:23.36" personId="{0BCEFD08-714B-473B-B749-6E7CF09EF38F}" id="{E7B54C45-D199-40C6-814D-5F0A43D6A565}">
    <text>No de Certificados</text>
  </threadedComment>
  <threadedComment ref="E21" dT="2025-02-18T22:45:50.44" personId="{0BCEFD08-714B-473B-B749-6E7CF09EF38F}" id="{2C82CAD8-1917-42C5-A93E-870AC2F4C268}">
    <text>Paquete de materiales</text>
  </threadedComment>
  <threadedComment ref="F21" dT="2025-02-18T22:46:00.23" personId="{0BCEFD08-714B-473B-B749-6E7CF09EF38F}" id="{0FF031DB-96A4-43FB-AA32-454D862DF7CA}">
    <text>No de Sedes</text>
  </threadedComment>
  <threadedComment ref="E23" dT="2025-02-18T22:46:34.47" personId="{0BCEFD08-714B-473B-B749-6E7CF09EF38F}" id="{0641C930-2FDC-4C29-9524-871DCA4291BA}">
    <text>No de Horas</text>
  </threadedComment>
  <threadedComment ref="F23" dT="2025-02-18T22:46:00.23" personId="{0BCEFD08-714B-473B-B749-6E7CF09EF38F}" id="{3C40679F-4367-4D54-A21D-C3C2A36F9380}">
    <text>No de Sedes</text>
  </threadedComment>
  <threadedComment ref="E24" dT="2025-02-18T22:47:28.74" personId="{0BCEFD08-714B-473B-B749-6E7CF09EF38F}" id="{D50E626C-37D3-4420-9060-13B9D3A54B58}">
    <text>Rueda de Negocios por Sede</text>
  </threadedComment>
  <threadedComment ref="F24" dT="2025-02-18T22:46:00.23" personId="{0BCEFD08-714B-473B-B749-6E7CF09EF38F}" id="{E93A00E4-47D1-485F-B17B-022EFD33DA47}">
    <text>No de Sedes</text>
  </threadedComment>
  <threadedComment ref="F25" dT="2025-02-18T22:48:52.11" personId="{0BCEFD08-714B-473B-B749-6E7CF09EF38F}" id="{019CEE8F-83E6-4534-910E-DAB629CEB343}">
    <text>No de Sedes, se contemplan dotaciones hasta por $160.000.000 para cada sede</text>
  </threadedComment>
  <threadedComment ref="E27" dT="2025-02-18T22:49:37.83" personId="{0BCEFD08-714B-473B-B749-6E7CF09EF38F}" id="{80BC3F71-9FA1-4296-9915-78B6F53E619A}">
    <text>No de Visitas</text>
  </threadedComment>
  <threadedComment ref="F27" dT="2025-03-12T13:01:53.87" personId="{4D71547A-83D9-4E82-8254-0D5C5C0DDB91}" id="{5F89353B-2CA5-4A4D-85BA-7EC2BABAB80C}">
    <text>Número de sistematizadores</text>
  </threadedComment>
  <threadedComment ref="E28" dT="2025-02-18T22:49:37.83" personId="{0BCEFD08-714B-473B-B749-6E7CF09EF38F}" id="{EA8B1064-C01D-4415-9B2A-88B8C3A4A0DD}">
    <text>No de Visitas</text>
  </threadedComment>
  <threadedComment ref="F28" dT="2025-03-12T13:02:10.40" personId="{4D71547A-83D9-4E82-8254-0D5C5C0DDB91}" id="{AE604E92-BAE1-4B50-B1F3-DA8ED5EB9A17}">
    <text>Número de sistematizadores</text>
  </threadedComment>
  <threadedComment ref="E30" dT="2025-02-18T22:50:10.25" personId="{0BCEFD08-714B-473B-B749-6E7CF09EF38F}" id="{22EDE3C7-AA12-4902-B7A4-465FDCE7F0DE}">
    <text xml:space="preserve">No de Personas </text>
  </threadedComment>
  <threadedComment ref="F30" dT="2025-02-18T22:50:20.82" personId="{0BCEFD08-714B-473B-B749-6E7CF09EF38F}" id="{22EB460D-CC54-4102-928A-1AD6FEC75F1B}">
    <text>No de días</text>
  </threadedComment>
  <threadedComment ref="E31" dT="2025-02-18T22:50:10.25" personId="{0BCEFD08-714B-473B-B749-6E7CF09EF38F}" id="{22ECFAAB-5560-4A9D-8831-8301356669F7}">
    <text xml:space="preserve">No de Personas </text>
  </threadedComment>
  <threadedComment ref="F31" dT="2025-02-18T22:50:40.68" personId="{0BCEFD08-714B-473B-B749-6E7CF09EF38F}" id="{67A8864F-2832-415E-B619-AF526F40201A}">
    <text>No de Visitas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20EA6-C710-4474-9A14-088EA6709B68}">
  <dimension ref="A1:L44"/>
  <sheetViews>
    <sheetView topLeftCell="A13" zoomScale="120" zoomScaleNormal="120" workbookViewId="0">
      <selection activeCell="A13" sqref="A13:A14"/>
    </sheetView>
  </sheetViews>
  <sheetFormatPr defaultColWidth="11.42578125" defaultRowHeight="13.9"/>
  <cols>
    <col min="1" max="1" width="48.28515625" style="3" customWidth="1"/>
    <col min="2" max="2" width="21.42578125" style="3" customWidth="1"/>
    <col min="3" max="3" width="13.85546875" style="3" customWidth="1"/>
    <col min="4" max="4" width="19.28515625" style="3" customWidth="1"/>
    <col min="5" max="6" width="22.7109375" style="3" customWidth="1"/>
    <col min="7" max="7" width="32.42578125" style="3" hidden="1" customWidth="1"/>
    <col min="8" max="11" width="5.85546875" style="3" hidden="1" customWidth="1"/>
    <col min="12" max="12" width="16" style="3" hidden="1" customWidth="1"/>
    <col min="13" max="16384" width="11.42578125" style="3"/>
  </cols>
  <sheetData>
    <row r="1" spans="1:12">
      <c r="A1" s="180" t="s">
        <v>0</v>
      </c>
      <c r="B1" s="180"/>
      <c r="C1" s="180"/>
      <c r="D1" s="180"/>
      <c r="E1" s="180"/>
      <c r="F1" s="52"/>
    </row>
    <row r="2" spans="1:12">
      <c r="A2" s="4" t="s">
        <v>1</v>
      </c>
      <c r="B2" s="181" t="s">
        <v>2</v>
      </c>
      <c r="C2" s="181" t="s">
        <v>3</v>
      </c>
      <c r="D2" s="182" t="s">
        <v>4</v>
      </c>
      <c r="E2" s="182" t="s">
        <v>5</v>
      </c>
      <c r="F2" s="53"/>
      <c r="L2" s="3" t="s">
        <v>6</v>
      </c>
    </row>
    <row r="3" spans="1:12">
      <c r="A3" s="5" t="s">
        <v>7</v>
      </c>
      <c r="B3" s="181"/>
      <c r="C3" s="181"/>
      <c r="D3" s="182"/>
      <c r="E3" s="182"/>
      <c r="F3" s="53"/>
      <c r="L3" s="3" t="s">
        <v>8</v>
      </c>
    </row>
    <row r="4" spans="1:12">
      <c r="A4" s="6" t="s">
        <v>9</v>
      </c>
      <c r="B4" s="7">
        <v>1</v>
      </c>
      <c r="C4" s="7">
        <v>5</v>
      </c>
      <c r="D4" s="1">
        <v>8175000.0000000009</v>
      </c>
      <c r="E4" s="8">
        <f t="shared" ref="E4:E9" si="0">D4*C4*B4</f>
        <v>40875000.000000007</v>
      </c>
      <c r="F4" s="39"/>
      <c r="L4" s="3" t="s">
        <v>10</v>
      </c>
    </row>
    <row r="5" spans="1:12">
      <c r="A5" s="6" t="s">
        <v>11</v>
      </c>
      <c r="B5" s="7">
        <v>1</v>
      </c>
      <c r="C5" s="7">
        <v>5</v>
      </c>
      <c r="D5" s="1">
        <v>7217429</v>
      </c>
      <c r="E5" s="8">
        <f t="shared" si="0"/>
        <v>36087145</v>
      </c>
      <c r="F5" s="39"/>
    </row>
    <row r="6" spans="1:12" ht="26.45">
      <c r="A6" s="6" t="s">
        <v>12</v>
      </c>
      <c r="B6" s="7">
        <v>15</v>
      </c>
      <c r="C6" s="7">
        <v>5</v>
      </c>
      <c r="D6" s="1">
        <v>5300000</v>
      </c>
      <c r="E6" s="8">
        <f t="shared" si="0"/>
        <v>397500000</v>
      </c>
      <c r="F6" s="39"/>
      <c r="L6" s="3" t="s">
        <v>13</v>
      </c>
    </row>
    <row r="7" spans="1:12">
      <c r="A7" s="6" t="s">
        <v>14</v>
      </c>
      <c r="B7" s="7">
        <v>2</v>
      </c>
      <c r="C7" s="7">
        <v>5</v>
      </c>
      <c r="D7" s="1">
        <v>6053147</v>
      </c>
      <c r="E7" s="8">
        <f t="shared" si="0"/>
        <v>60531470</v>
      </c>
      <c r="F7" s="39"/>
    </row>
    <row r="8" spans="1:12" ht="26.45">
      <c r="A8" s="6" t="s">
        <v>15</v>
      </c>
      <c r="B8" s="7">
        <v>4</v>
      </c>
      <c r="C8" s="7">
        <v>5</v>
      </c>
      <c r="D8" s="1">
        <v>6053147</v>
      </c>
      <c r="E8" s="8">
        <f t="shared" si="0"/>
        <v>121062940</v>
      </c>
      <c r="F8" s="39"/>
    </row>
    <row r="9" spans="1:12">
      <c r="A9" s="6" t="s">
        <v>16</v>
      </c>
      <c r="B9" s="7">
        <v>15</v>
      </c>
      <c r="C9" s="7">
        <v>5</v>
      </c>
      <c r="D9" s="1">
        <v>5300000</v>
      </c>
      <c r="E9" s="8">
        <f t="shared" si="0"/>
        <v>397500000</v>
      </c>
      <c r="F9" s="39"/>
    </row>
    <row r="10" spans="1:12">
      <c r="A10" s="9" t="s">
        <v>17</v>
      </c>
      <c r="B10" s="10">
        <f>SUM(B4:B9)</f>
        <v>38</v>
      </c>
      <c r="C10" s="11"/>
      <c r="D10" s="11"/>
      <c r="E10" s="12">
        <f>SUM(E4:E9)</f>
        <v>1053556555</v>
      </c>
      <c r="F10" s="41"/>
    </row>
    <row r="11" spans="1:12">
      <c r="A11" s="13" t="s">
        <v>18</v>
      </c>
      <c r="B11" s="14" t="s">
        <v>2</v>
      </c>
      <c r="C11" s="14" t="s">
        <v>3</v>
      </c>
      <c r="D11" s="14" t="s">
        <v>4</v>
      </c>
      <c r="E11" s="14" t="s">
        <v>5</v>
      </c>
      <c r="F11" s="54"/>
    </row>
    <row r="12" spans="1:12" ht="26.45">
      <c r="A12" s="64" t="s">
        <v>19</v>
      </c>
      <c r="B12" s="65">
        <v>54</v>
      </c>
      <c r="C12" s="66" t="s">
        <v>20</v>
      </c>
      <c r="D12" s="69">
        <v>1000000</v>
      </c>
      <c r="E12" s="68">
        <f t="shared" ref="E12:E18" si="1">+B12*D12</f>
        <v>54000000</v>
      </c>
      <c r="F12" s="40"/>
      <c r="G12" s="20" t="s">
        <v>21</v>
      </c>
      <c r="H12" s="20">
        <v>40</v>
      </c>
      <c r="I12" s="20">
        <v>2</v>
      </c>
      <c r="J12" s="20">
        <v>2</v>
      </c>
      <c r="K12" s="20"/>
      <c r="L12" s="36">
        <f>H12*I12*J12</f>
        <v>160</v>
      </c>
    </row>
    <row r="13" spans="1:12" ht="39.6">
      <c r="A13" s="15" t="s">
        <v>22</v>
      </c>
      <c r="B13" s="16">
        <f>$L$13</f>
        <v>360</v>
      </c>
      <c r="C13" s="17" t="s">
        <v>20</v>
      </c>
      <c r="D13" s="2">
        <v>95000</v>
      </c>
      <c r="E13" s="19">
        <f t="shared" si="1"/>
        <v>34200000</v>
      </c>
      <c r="F13" s="40"/>
      <c r="G13" s="20" t="s">
        <v>23</v>
      </c>
      <c r="H13" s="20">
        <v>60</v>
      </c>
      <c r="I13" s="20">
        <v>3</v>
      </c>
      <c r="J13" s="20">
        <v>2</v>
      </c>
      <c r="K13" s="20"/>
      <c r="L13" s="36">
        <f>H13*I13*J13</f>
        <v>360</v>
      </c>
    </row>
    <row r="14" spans="1:12" ht="26.45">
      <c r="A14" s="15" t="s">
        <v>24</v>
      </c>
      <c r="B14" s="16">
        <v>960</v>
      </c>
      <c r="C14" s="17" t="s">
        <v>20</v>
      </c>
      <c r="D14" s="2">
        <v>360000</v>
      </c>
      <c r="E14" s="19">
        <f t="shared" si="1"/>
        <v>345600000</v>
      </c>
      <c r="F14" s="40"/>
      <c r="G14" s="20" t="s">
        <v>25</v>
      </c>
      <c r="H14" s="20">
        <v>60</v>
      </c>
      <c r="I14" s="20">
        <v>3</v>
      </c>
      <c r="J14" s="20">
        <v>4</v>
      </c>
      <c r="K14" s="20">
        <v>2</v>
      </c>
      <c r="L14" s="36">
        <f>H14*I14*J14*K14</f>
        <v>1440</v>
      </c>
    </row>
    <row r="15" spans="1:12">
      <c r="A15" s="15" t="s">
        <v>26</v>
      </c>
      <c r="B15" s="16">
        <v>21</v>
      </c>
      <c r="C15" s="17" t="s">
        <v>20</v>
      </c>
      <c r="D15" s="2">
        <v>1000000</v>
      </c>
      <c r="E15" s="19">
        <f t="shared" si="1"/>
        <v>21000000</v>
      </c>
      <c r="F15" s="40"/>
      <c r="G15" s="51"/>
    </row>
    <row r="16" spans="1:12">
      <c r="A16" s="15" t="s">
        <v>27</v>
      </c>
      <c r="B16" s="16">
        <v>24</v>
      </c>
      <c r="C16" s="17" t="s">
        <v>20</v>
      </c>
      <c r="D16" s="18">
        <v>550000</v>
      </c>
      <c r="E16" s="19">
        <f t="shared" si="1"/>
        <v>13200000</v>
      </c>
      <c r="F16" s="40"/>
    </row>
    <row r="17" spans="1:6" ht="79.150000000000006">
      <c r="A17" s="70" t="s">
        <v>28</v>
      </c>
      <c r="B17" s="16">
        <v>160000</v>
      </c>
      <c r="C17" s="17" t="s">
        <v>20</v>
      </c>
      <c r="D17" s="18">
        <v>6000</v>
      </c>
      <c r="E17" s="19">
        <f t="shared" si="1"/>
        <v>960000000</v>
      </c>
      <c r="F17" s="40"/>
    </row>
    <row r="18" spans="1:6" ht="39.6">
      <c r="A18" s="70" t="s">
        <v>29</v>
      </c>
      <c r="B18" s="65">
        <v>180</v>
      </c>
      <c r="C18" s="66" t="s">
        <v>20</v>
      </c>
      <c r="D18" s="67">
        <v>5000000</v>
      </c>
      <c r="E18" s="68">
        <f t="shared" si="1"/>
        <v>900000000</v>
      </c>
      <c r="F18" s="40"/>
    </row>
    <row r="19" spans="1:6">
      <c r="A19" s="9" t="s">
        <v>30</v>
      </c>
      <c r="B19" s="9"/>
      <c r="C19" s="9"/>
      <c r="D19" s="9"/>
      <c r="E19" s="12">
        <f>SUM(E12:E18)</f>
        <v>2328000000</v>
      </c>
      <c r="F19" s="41"/>
    </row>
    <row r="20" spans="1:6">
      <c r="A20" s="184" t="s">
        <v>31</v>
      </c>
      <c r="B20" s="184"/>
      <c r="C20" s="184"/>
      <c r="D20" s="184"/>
      <c r="E20" s="184"/>
      <c r="F20" s="55"/>
    </row>
    <row r="21" spans="1:6" s="63" customFormat="1">
      <c r="A21" s="71" t="s">
        <v>32</v>
      </c>
      <c r="B21" s="60">
        <v>60</v>
      </c>
      <c r="C21" s="60" t="s">
        <v>20</v>
      </c>
      <c r="D21" s="1">
        <v>10000000</v>
      </c>
      <c r="E21" s="61">
        <f>+B21*D21</f>
        <v>600000000</v>
      </c>
      <c r="F21" s="62"/>
    </row>
    <row r="22" spans="1:6">
      <c r="A22" s="9" t="s">
        <v>31</v>
      </c>
      <c r="B22" s="9"/>
      <c r="C22" s="9"/>
      <c r="D22" s="9"/>
      <c r="E22" s="21">
        <f>SUM(E21:E21)</f>
        <v>600000000</v>
      </c>
      <c r="F22" s="41"/>
    </row>
    <row r="23" spans="1:6" ht="6.75" customHeight="1">
      <c r="A23" s="37"/>
      <c r="B23" s="37"/>
      <c r="C23" s="37"/>
      <c r="D23" s="37"/>
      <c r="E23" s="38"/>
      <c r="F23" s="41"/>
    </row>
    <row r="24" spans="1:6">
      <c r="A24" s="13" t="s">
        <v>33</v>
      </c>
      <c r="B24" s="22"/>
      <c r="C24" s="23"/>
      <c r="D24" s="23"/>
      <c r="E24" s="12">
        <f>+E10+E19+E22</f>
        <v>3981556555</v>
      </c>
      <c r="F24" s="41"/>
    </row>
    <row r="25" spans="1:6">
      <c r="A25" s="9" t="s">
        <v>34</v>
      </c>
      <c r="B25" s="24"/>
      <c r="C25" s="25"/>
      <c r="D25" s="25"/>
      <c r="E25" s="26"/>
      <c r="F25" s="56"/>
    </row>
    <row r="26" spans="1:6">
      <c r="A26" s="185" t="s">
        <v>35</v>
      </c>
      <c r="B26" s="185"/>
      <c r="C26" s="185"/>
      <c r="D26" s="27">
        <v>0.1</v>
      </c>
      <c r="E26" s="21">
        <f>E24*0.1</f>
        <v>398155655.5</v>
      </c>
      <c r="F26" s="41"/>
    </row>
    <row r="27" spans="1:6">
      <c r="A27" s="13" t="s">
        <v>36</v>
      </c>
      <c r="B27" s="13"/>
      <c r="C27" s="14"/>
      <c r="D27" s="14"/>
      <c r="E27" s="21">
        <f>E26</f>
        <v>398155655.5</v>
      </c>
      <c r="F27" s="41"/>
    </row>
    <row r="28" spans="1:6">
      <c r="A28" s="43" t="s">
        <v>37</v>
      </c>
      <c r="B28" s="9"/>
      <c r="C28" s="4"/>
      <c r="D28" s="4"/>
      <c r="E28" s="28">
        <f>E24+E27</f>
        <v>4379712210.5</v>
      </c>
      <c r="F28" s="45"/>
    </row>
    <row r="29" spans="1:6">
      <c r="E29" s="44"/>
      <c r="F29" s="57"/>
    </row>
    <row r="30" spans="1:6" hidden="1"/>
    <row r="31" spans="1:6" ht="12.75" hidden="1" customHeight="1">
      <c r="A31" s="29" t="s">
        <v>38</v>
      </c>
      <c r="B31" s="183" t="s">
        <v>39</v>
      </c>
      <c r="C31" s="183"/>
      <c r="D31" s="183"/>
      <c r="E31" s="49">
        <f>E28*2</f>
        <v>8759424421</v>
      </c>
      <c r="F31" s="56"/>
    </row>
    <row r="32" spans="1:6" hidden="1">
      <c r="A32" s="30"/>
      <c r="B32" s="183" t="s">
        <v>40</v>
      </c>
      <c r="C32" s="183"/>
      <c r="D32" s="183"/>
      <c r="E32" s="50">
        <v>136475542.24000001</v>
      </c>
      <c r="F32" s="56"/>
    </row>
    <row r="33" spans="1:7" hidden="1">
      <c r="A33" s="30"/>
      <c r="B33" s="183" t="s">
        <v>41</v>
      </c>
      <c r="C33" s="183"/>
      <c r="D33" s="183"/>
      <c r="E33" s="50">
        <f>E28*0.02</f>
        <v>87594244.210000008</v>
      </c>
      <c r="F33" s="56"/>
    </row>
    <row r="34" spans="1:7" ht="15" hidden="1" customHeight="1">
      <c r="B34" s="183" t="s">
        <v>42</v>
      </c>
      <c r="C34" s="183"/>
      <c r="D34" s="183"/>
      <c r="E34" s="49">
        <f>E31+E32+E33</f>
        <v>8983494207.4499989</v>
      </c>
      <c r="F34" s="56"/>
    </row>
    <row r="35" spans="1:7" hidden="1"/>
    <row r="36" spans="1:7" ht="16.149999999999999" hidden="1">
      <c r="A36" s="31" t="s">
        <v>43</v>
      </c>
      <c r="B36" s="46">
        <f>E28</f>
        <v>4379712210.5</v>
      </c>
      <c r="C36" s="30"/>
      <c r="D36" s="30"/>
      <c r="E36" s="42"/>
      <c r="F36" s="30"/>
      <c r="G36" s="32"/>
    </row>
    <row r="37" spans="1:7" ht="32.450000000000003" hidden="1">
      <c r="A37" s="31" t="s">
        <v>44</v>
      </c>
      <c r="B37" s="46">
        <f>(E32+E33)/2</f>
        <v>112034893.22500001</v>
      </c>
      <c r="C37" s="30"/>
      <c r="D37" s="30"/>
      <c r="E37" s="30"/>
      <c r="F37" s="30"/>
    </row>
    <row r="38" spans="1:7" ht="16.149999999999999" hidden="1">
      <c r="A38" s="33" t="s">
        <v>45</v>
      </c>
      <c r="B38" s="47">
        <f>B36+B37</f>
        <v>4491747103.7250004</v>
      </c>
      <c r="C38" s="30"/>
      <c r="D38" s="30"/>
      <c r="E38" s="42"/>
      <c r="F38" s="30"/>
    </row>
    <row r="39" spans="1:7" ht="16.149999999999999" hidden="1">
      <c r="A39" s="31" t="s">
        <v>46</v>
      </c>
      <c r="B39" s="34">
        <v>3000</v>
      </c>
      <c r="C39" s="30"/>
      <c r="D39" s="30"/>
      <c r="E39" s="30"/>
      <c r="F39" s="30"/>
    </row>
    <row r="40" spans="1:7" ht="16.149999999999999" hidden="1">
      <c r="A40" s="31" t="s">
        <v>47</v>
      </c>
      <c r="B40" s="48">
        <f>B38/B39</f>
        <v>1497249.0345750002</v>
      </c>
      <c r="D40" s="30"/>
      <c r="E40" s="42"/>
      <c r="F40" s="58"/>
    </row>
    <row r="41" spans="1:7" ht="16.149999999999999" hidden="1">
      <c r="A41" s="31" t="s">
        <v>48</v>
      </c>
      <c r="B41" s="34">
        <v>60</v>
      </c>
      <c r="D41" s="30"/>
      <c r="E41" s="42"/>
      <c r="F41" s="58"/>
    </row>
    <row r="42" spans="1:7" ht="16.149999999999999" hidden="1">
      <c r="A42" s="31" t="s">
        <v>49</v>
      </c>
      <c r="B42" s="48">
        <f>B38/B41</f>
        <v>74862451.728750005</v>
      </c>
      <c r="C42" s="30"/>
      <c r="D42" s="35"/>
      <c r="E42" s="42"/>
      <c r="F42" s="58"/>
    </row>
    <row r="43" spans="1:7">
      <c r="C43" s="30"/>
      <c r="D43" s="30"/>
      <c r="E43" s="30"/>
      <c r="F43" s="59"/>
    </row>
    <row r="44" spans="1:7">
      <c r="B44" s="32"/>
    </row>
  </sheetData>
  <mergeCells count="11">
    <mergeCell ref="B34:D34"/>
    <mergeCell ref="A20:E20"/>
    <mergeCell ref="A26:C26"/>
    <mergeCell ref="B31:D31"/>
    <mergeCell ref="B32:D32"/>
    <mergeCell ref="B33:D33"/>
    <mergeCell ref="A1:E1"/>
    <mergeCell ref="B2:B3"/>
    <mergeCell ref="C2:C3"/>
    <mergeCell ref="D2:D3"/>
    <mergeCell ref="E2:E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B4690-6E29-425F-B8AE-7A50649710CF}">
  <dimension ref="A1:O34"/>
  <sheetViews>
    <sheetView topLeftCell="A6" zoomScale="90" zoomScaleNormal="90" workbookViewId="0">
      <selection activeCell="B11" sqref="A11:XFD12"/>
    </sheetView>
  </sheetViews>
  <sheetFormatPr defaultColWidth="11.42578125" defaultRowHeight="16.899999999999999"/>
  <cols>
    <col min="1" max="1" width="20.7109375" style="72" customWidth="1"/>
    <col min="2" max="2" width="12.7109375" style="72" customWidth="1"/>
    <col min="3" max="3" width="25.85546875" style="72" customWidth="1"/>
    <col min="4" max="4" width="47.85546875" style="72" customWidth="1"/>
    <col min="5" max="5" width="19.42578125" style="72" customWidth="1"/>
    <col min="6" max="6" width="9.42578125" style="72" customWidth="1"/>
    <col min="7" max="7" width="16" style="72" bestFit="1" customWidth="1"/>
    <col min="8" max="8" width="24.42578125" style="72" customWidth="1"/>
    <col min="9" max="9" width="11.42578125" style="72"/>
    <col min="10" max="10" width="12.85546875" style="72" bestFit="1" customWidth="1"/>
    <col min="11" max="12" width="16" style="72" bestFit="1" customWidth="1"/>
    <col min="13" max="13" width="18" style="72" customWidth="1"/>
    <col min="14" max="16384" width="11.42578125" style="72"/>
  </cols>
  <sheetData>
    <row r="1" spans="1:15" ht="47.25" customHeight="1">
      <c r="B1" s="194" t="s">
        <v>50</v>
      </c>
      <c r="C1" s="194"/>
      <c r="D1" s="194"/>
      <c r="E1" s="194"/>
      <c r="F1" s="194"/>
      <c r="G1" s="194"/>
      <c r="H1" s="194"/>
    </row>
    <row r="2" spans="1:15">
      <c r="B2" s="195" t="s">
        <v>51</v>
      </c>
      <c r="C2" s="195"/>
      <c r="D2" s="196"/>
      <c r="E2" s="197"/>
      <c r="F2" s="197"/>
      <c r="G2" s="197"/>
      <c r="H2" s="198"/>
    </row>
    <row r="3" spans="1:15">
      <c r="B3" s="195"/>
      <c r="C3" s="195"/>
      <c r="D3" s="199"/>
      <c r="E3" s="200"/>
      <c r="F3" s="200"/>
      <c r="G3" s="200"/>
      <c r="H3" s="201"/>
    </row>
    <row r="4" spans="1:15">
      <c r="B4" s="73"/>
      <c r="C4" s="73"/>
      <c r="D4" s="74"/>
      <c r="E4" s="75"/>
      <c r="F4" s="75"/>
      <c r="G4" s="76"/>
      <c r="H4" s="76"/>
    </row>
    <row r="5" spans="1:15" ht="34.15" thickBot="1">
      <c r="A5" s="100" t="s">
        <v>52</v>
      </c>
      <c r="B5" s="100" t="s">
        <v>53</v>
      </c>
      <c r="C5" s="101" t="s">
        <v>54</v>
      </c>
      <c r="D5" s="100" t="s">
        <v>55</v>
      </c>
      <c r="E5" s="100" t="s">
        <v>56</v>
      </c>
      <c r="F5" s="100" t="s">
        <v>57</v>
      </c>
      <c r="G5" s="102" t="s">
        <v>58</v>
      </c>
      <c r="H5" s="102" t="s">
        <v>59</v>
      </c>
    </row>
    <row r="6" spans="1:15" ht="151.9" thickBot="1">
      <c r="A6" s="188" t="s">
        <v>60</v>
      </c>
      <c r="B6" s="104">
        <v>1.1000000000000001</v>
      </c>
      <c r="C6" s="105" t="s">
        <v>61</v>
      </c>
      <c r="D6" s="105" t="s">
        <v>62</v>
      </c>
      <c r="E6" s="106">
        <v>1</v>
      </c>
      <c r="F6" s="135">
        <v>7.5</v>
      </c>
      <c r="G6" s="107">
        <v>8590000</v>
      </c>
      <c r="H6" s="108">
        <f t="shared" ref="H6:H13" si="0">G6*E6*F6</f>
        <v>64425000</v>
      </c>
      <c r="K6" s="82"/>
      <c r="L6" s="82"/>
      <c r="M6" s="83"/>
    </row>
    <row r="7" spans="1:15" ht="185.45" thickBot="1">
      <c r="A7" s="189"/>
      <c r="B7" s="77">
        <v>1.2</v>
      </c>
      <c r="C7" s="78" t="s">
        <v>63</v>
      </c>
      <c r="D7" s="78" t="s">
        <v>64</v>
      </c>
      <c r="E7" s="79">
        <v>1</v>
      </c>
      <c r="F7" s="135">
        <v>7.5</v>
      </c>
      <c r="G7" s="81">
        <v>8590000</v>
      </c>
      <c r="H7" s="89">
        <f t="shared" si="0"/>
        <v>64425000</v>
      </c>
      <c r="L7" s="83"/>
      <c r="N7" s="72">
        <v>395600</v>
      </c>
      <c r="O7" s="72">
        <v>223600</v>
      </c>
    </row>
    <row r="8" spans="1:15" ht="118.15" thickBot="1">
      <c r="A8" s="189"/>
      <c r="B8" s="79">
        <v>1.3</v>
      </c>
      <c r="C8" s="78" t="s">
        <v>65</v>
      </c>
      <c r="D8" s="78" t="s">
        <v>66</v>
      </c>
      <c r="E8" s="79">
        <v>10</v>
      </c>
      <c r="F8" s="135">
        <v>7.5</v>
      </c>
      <c r="G8" s="134">
        <v>4919200</v>
      </c>
      <c r="H8" s="109">
        <f t="shared" si="0"/>
        <v>368940000</v>
      </c>
      <c r="L8" s="85"/>
      <c r="M8" s="72">
        <f>N7+4300000+O7</f>
        <v>4919200</v>
      </c>
      <c r="N8" s="72">
        <v>100</v>
      </c>
      <c r="O8" s="85"/>
    </row>
    <row r="9" spans="1:15" ht="67.900000000000006" thickBot="1">
      <c r="A9" s="189"/>
      <c r="B9" s="77">
        <v>1.4</v>
      </c>
      <c r="C9" s="86" t="s">
        <v>67</v>
      </c>
      <c r="D9" s="78" t="s">
        <v>68</v>
      </c>
      <c r="E9" s="79">
        <v>5</v>
      </c>
      <c r="F9" s="135">
        <v>7.5</v>
      </c>
      <c r="G9" s="84">
        <v>4919200</v>
      </c>
      <c r="H9" s="89">
        <f t="shared" si="0"/>
        <v>184470000</v>
      </c>
      <c r="M9" s="72">
        <f>N9*M8/N8</f>
        <v>255798.39999999999</v>
      </c>
      <c r="N9" s="72">
        <v>5.2</v>
      </c>
    </row>
    <row r="10" spans="1:15" ht="50.45">
      <c r="A10" s="189"/>
      <c r="B10" s="77">
        <v>1.5</v>
      </c>
      <c r="C10" s="86" t="s">
        <v>69</v>
      </c>
      <c r="D10" s="78" t="s">
        <v>70</v>
      </c>
      <c r="E10" s="79">
        <v>5</v>
      </c>
      <c r="F10" s="135">
        <v>7.5</v>
      </c>
      <c r="G10" s="84">
        <v>4919200</v>
      </c>
      <c r="H10" s="89">
        <f t="shared" si="0"/>
        <v>184470000</v>
      </c>
      <c r="J10" s="83"/>
    </row>
    <row r="11" spans="1:15" ht="33" customHeight="1">
      <c r="A11" s="189"/>
      <c r="B11" s="77">
        <v>1.6</v>
      </c>
      <c r="C11" s="78" t="s">
        <v>71</v>
      </c>
      <c r="D11" s="78" t="s">
        <v>72</v>
      </c>
      <c r="E11" s="79">
        <v>1</v>
      </c>
      <c r="F11" s="87">
        <v>120</v>
      </c>
      <c r="G11" s="84"/>
      <c r="H11" s="109">
        <f t="shared" si="0"/>
        <v>0</v>
      </c>
    </row>
    <row r="12" spans="1:15" ht="33" customHeight="1">
      <c r="A12" s="189"/>
      <c r="B12" s="77">
        <v>1.7</v>
      </c>
      <c r="C12" s="78" t="s">
        <v>73</v>
      </c>
      <c r="D12" s="78" t="s">
        <v>74</v>
      </c>
      <c r="E12" s="79"/>
      <c r="F12" s="87"/>
      <c r="G12" s="84"/>
      <c r="H12" s="109"/>
    </row>
    <row r="13" spans="1:15" ht="46.5" customHeight="1">
      <c r="A13" s="189"/>
      <c r="B13" s="77">
        <v>1.8</v>
      </c>
      <c r="C13" s="86" t="s">
        <v>75</v>
      </c>
      <c r="D13" s="78" t="s">
        <v>76</v>
      </c>
      <c r="E13" s="79">
        <v>10</v>
      </c>
      <c r="F13" s="80">
        <v>4</v>
      </c>
      <c r="G13" s="84">
        <v>4919200</v>
      </c>
      <c r="H13" s="89">
        <f t="shared" si="0"/>
        <v>196768000</v>
      </c>
    </row>
    <row r="14" spans="1:15" ht="17.45" thickBot="1">
      <c r="A14" s="202" t="s">
        <v>77</v>
      </c>
      <c r="B14" s="203"/>
      <c r="C14" s="203"/>
      <c r="D14" s="203"/>
      <c r="E14" s="203"/>
      <c r="F14" s="204"/>
      <c r="G14" s="88">
        <f>SUM(G6:G13)</f>
        <v>36856800</v>
      </c>
      <c r="H14" s="112">
        <f>SUM(H6:H13)</f>
        <v>1063498000</v>
      </c>
    </row>
    <row r="15" spans="1:15" ht="168">
      <c r="A15" s="188" t="s">
        <v>78</v>
      </c>
      <c r="B15" s="104" t="s">
        <v>79</v>
      </c>
      <c r="C15" s="113" t="s">
        <v>80</v>
      </c>
      <c r="D15" s="136" t="s">
        <v>81</v>
      </c>
      <c r="E15" s="104">
        <f>40*20</f>
        <v>800</v>
      </c>
      <c r="F15" s="104">
        <v>1</v>
      </c>
      <c r="G15" s="107">
        <v>3800000</v>
      </c>
      <c r="H15" s="108">
        <f>G15*E15</f>
        <v>3040000000</v>
      </c>
      <c r="J15" s="90"/>
    </row>
    <row r="16" spans="1:15" ht="87" customHeight="1" thickBot="1">
      <c r="A16" s="189"/>
      <c r="B16" s="77" t="s">
        <v>82</v>
      </c>
      <c r="C16" s="86" t="s">
        <v>83</v>
      </c>
      <c r="D16" s="78" t="s">
        <v>84</v>
      </c>
      <c r="E16" s="77"/>
      <c r="F16" s="77">
        <v>3</v>
      </c>
      <c r="G16" s="107">
        <v>3800000</v>
      </c>
      <c r="H16" s="89">
        <f>G16*E16</f>
        <v>0</v>
      </c>
    </row>
    <row r="17" spans="1:8" ht="179.25" customHeight="1">
      <c r="A17" s="189"/>
      <c r="B17" s="77" t="s">
        <v>85</v>
      </c>
      <c r="C17" s="86" t="s">
        <v>86</v>
      </c>
      <c r="D17" s="137" t="s">
        <v>87</v>
      </c>
      <c r="E17" s="77"/>
      <c r="F17" s="77">
        <v>3</v>
      </c>
      <c r="G17" s="107">
        <v>3800000</v>
      </c>
      <c r="H17" s="89">
        <f>G17*E17</f>
        <v>0</v>
      </c>
    </row>
    <row r="18" spans="1:8" ht="173.25" customHeight="1">
      <c r="A18" s="189"/>
      <c r="B18" s="77" t="s">
        <v>88</v>
      </c>
      <c r="C18" s="86" t="s">
        <v>89</v>
      </c>
      <c r="D18" s="78" t="s">
        <v>90</v>
      </c>
      <c r="E18" s="77">
        <f>1*20</f>
        <v>20</v>
      </c>
      <c r="F18" s="77">
        <v>2</v>
      </c>
      <c r="G18" s="81">
        <v>10000000</v>
      </c>
      <c r="H18" s="89">
        <f>G18*E18</f>
        <v>200000000</v>
      </c>
    </row>
    <row r="19" spans="1:8" ht="17.45" thickBot="1">
      <c r="A19" s="190" t="s">
        <v>91</v>
      </c>
      <c r="B19" s="191"/>
      <c r="C19" s="191"/>
      <c r="D19" s="191"/>
      <c r="E19" s="191"/>
      <c r="F19" s="191"/>
      <c r="G19" s="88">
        <f>SUM(G15:G18)</f>
        <v>21400000</v>
      </c>
      <c r="H19" s="112">
        <f>SUM(H15:H18)</f>
        <v>3240000000</v>
      </c>
    </row>
    <row r="20" spans="1:8" ht="67.900000000000006" thickBot="1">
      <c r="A20" s="188" t="s">
        <v>92</v>
      </c>
      <c r="B20" s="106">
        <v>3.1</v>
      </c>
      <c r="C20" s="128" t="s">
        <v>93</v>
      </c>
      <c r="D20" s="128" t="s">
        <v>94</v>
      </c>
      <c r="E20" s="106">
        <f>3*20</f>
        <v>60</v>
      </c>
      <c r="F20" s="106">
        <v>3</v>
      </c>
      <c r="G20" s="107">
        <v>3800000</v>
      </c>
      <c r="H20" s="129">
        <f>G20*E20</f>
        <v>228000000</v>
      </c>
    </row>
    <row r="21" spans="1:8" ht="213.75" customHeight="1">
      <c r="A21" s="189"/>
      <c r="B21" s="77">
        <v>3.2</v>
      </c>
      <c r="C21" s="86" t="s">
        <v>95</v>
      </c>
      <c r="D21" s="127" t="s">
        <v>96</v>
      </c>
      <c r="E21" s="77">
        <f>3*20</f>
        <v>60</v>
      </c>
      <c r="F21" s="77">
        <v>6</v>
      </c>
      <c r="G21" s="107">
        <v>3800000</v>
      </c>
      <c r="H21" s="89">
        <f>G21*E21</f>
        <v>228000000</v>
      </c>
    </row>
    <row r="22" spans="1:8" ht="17.45" thickBot="1">
      <c r="A22" s="190" t="s">
        <v>97</v>
      </c>
      <c r="B22" s="191"/>
      <c r="C22" s="191"/>
      <c r="D22" s="191"/>
      <c r="E22" s="191"/>
      <c r="F22" s="191"/>
      <c r="G22" s="88">
        <f>SUM(G21)</f>
        <v>3800000</v>
      </c>
      <c r="H22" s="112">
        <f>SUM(H21,H20)</f>
        <v>456000000</v>
      </c>
    </row>
    <row r="23" spans="1:8" ht="117.6">
      <c r="A23" s="188" t="s">
        <v>98</v>
      </c>
      <c r="B23" s="104" t="s">
        <v>99</v>
      </c>
      <c r="C23" s="113" t="s">
        <v>100</v>
      </c>
      <c r="D23" s="105" t="s">
        <v>101</v>
      </c>
      <c r="E23" s="104">
        <v>30</v>
      </c>
      <c r="F23" s="135">
        <v>7.5</v>
      </c>
      <c r="G23" s="107">
        <f>1200000</f>
        <v>1200000</v>
      </c>
      <c r="H23" s="108">
        <f>G23*E23</f>
        <v>36000000</v>
      </c>
    </row>
    <row r="24" spans="1:8" ht="50.45">
      <c r="A24" s="189"/>
      <c r="B24" s="77" t="s">
        <v>102</v>
      </c>
      <c r="C24" s="86" t="s">
        <v>103</v>
      </c>
      <c r="D24" s="86" t="s">
        <v>104</v>
      </c>
      <c r="E24" s="77">
        <v>20</v>
      </c>
      <c r="F24" s="77">
        <v>1</v>
      </c>
      <c r="G24" s="81">
        <v>160000000</v>
      </c>
      <c r="H24" s="89">
        <f>G24*E24</f>
        <v>3200000000</v>
      </c>
    </row>
    <row r="25" spans="1:8" ht="17.45" thickBot="1">
      <c r="A25" s="192" t="s">
        <v>105</v>
      </c>
      <c r="B25" s="193"/>
      <c r="C25" s="193"/>
      <c r="D25" s="193"/>
      <c r="E25" s="193"/>
      <c r="F25" s="193"/>
      <c r="G25" s="110">
        <f>SUM(G24,G23)</f>
        <v>161200000</v>
      </c>
      <c r="H25" s="111">
        <f>SUM(H24,H23)</f>
        <v>3236000000</v>
      </c>
    </row>
    <row r="26" spans="1:8" ht="100.9">
      <c r="A26" s="126" t="s">
        <v>106</v>
      </c>
      <c r="B26" s="130" t="s">
        <v>107</v>
      </c>
      <c r="C26" s="131" t="s">
        <v>108</v>
      </c>
      <c r="D26" s="132" t="s">
        <v>109</v>
      </c>
      <c r="E26" s="130">
        <v>70</v>
      </c>
      <c r="F26" s="130"/>
      <c r="G26" s="133">
        <v>1200000</v>
      </c>
      <c r="H26" s="114">
        <f>G26*E26</f>
        <v>84000000</v>
      </c>
    </row>
    <row r="27" spans="1:8" ht="17.45" thickBot="1">
      <c r="A27" s="192" t="s">
        <v>110</v>
      </c>
      <c r="B27" s="193"/>
      <c r="C27" s="193"/>
      <c r="D27" s="193"/>
      <c r="E27" s="193"/>
      <c r="F27" s="193"/>
      <c r="G27" s="110">
        <f>SUM(G26)</f>
        <v>1200000</v>
      </c>
      <c r="H27" s="111">
        <f>SUM(H26)</f>
        <v>84000000</v>
      </c>
    </row>
    <row r="28" spans="1:8" ht="33.75" customHeight="1">
      <c r="A28" s="103" t="s">
        <v>111</v>
      </c>
      <c r="B28" s="104" t="s">
        <v>112</v>
      </c>
      <c r="C28" s="113" t="s">
        <v>113</v>
      </c>
      <c r="D28" s="113" t="s">
        <v>114</v>
      </c>
      <c r="E28" s="104">
        <v>4</v>
      </c>
      <c r="F28" s="104">
        <v>1</v>
      </c>
      <c r="G28" s="107">
        <v>574904.5</v>
      </c>
      <c r="H28" s="108">
        <f>+G28*E28</f>
        <v>2299618</v>
      </c>
    </row>
    <row r="29" spans="1:8" ht="17.45" thickBot="1">
      <c r="A29" s="192" t="s">
        <v>115</v>
      </c>
      <c r="B29" s="193"/>
      <c r="C29" s="193"/>
      <c r="D29" s="193"/>
      <c r="E29" s="193"/>
      <c r="F29" s="193"/>
      <c r="G29" s="110">
        <f>SUM(G28)</f>
        <v>574904.5</v>
      </c>
      <c r="H29" s="111">
        <f>SUM(H28)</f>
        <v>2299618</v>
      </c>
    </row>
    <row r="30" spans="1:8" ht="17.45" thickBot="1">
      <c r="A30" s="91"/>
      <c r="B30" s="91"/>
      <c r="C30" s="91"/>
      <c r="D30" s="91"/>
      <c r="E30" s="91"/>
      <c r="F30" s="91"/>
      <c r="G30" s="92"/>
      <c r="H30" s="92"/>
    </row>
    <row r="31" spans="1:8">
      <c r="B31" s="186" t="s">
        <v>116</v>
      </c>
      <c r="C31" s="187"/>
      <c r="D31" s="187"/>
      <c r="E31" s="187"/>
      <c r="F31" s="187"/>
      <c r="G31" s="115">
        <f>SUM(G29,G27,G25,G22,G19,G14)</f>
        <v>225031704.5</v>
      </c>
      <c r="H31" s="116">
        <f>SUM(H29,H27,H25,H22,H19,H14,)</f>
        <v>8081797618</v>
      </c>
    </row>
    <row r="32" spans="1:8">
      <c r="B32" s="117">
        <v>3</v>
      </c>
      <c r="C32" s="93" t="s">
        <v>117</v>
      </c>
      <c r="D32" s="94"/>
      <c r="E32" s="95" t="s">
        <v>118</v>
      </c>
      <c r="F32" s="95"/>
      <c r="G32" s="96"/>
      <c r="H32" s="118"/>
    </row>
    <row r="33" spans="2:8" ht="67.150000000000006">
      <c r="B33" s="119">
        <v>3.1</v>
      </c>
      <c r="C33" s="97" t="s">
        <v>119</v>
      </c>
      <c r="D33" s="78" t="s">
        <v>120</v>
      </c>
      <c r="E33" s="98">
        <v>0.1</v>
      </c>
      <c r="F33" s="77" t="s">
        <v>121</v>
      </c>
      <c r="G33" s="99"/>
      <c r="H33" s="120">
        <f>H31*10%</f>
        <v>808179761.80000007</v>
      </c>
    </row>
    <row r="34" spans="2:8" ht="34.15" thickBot="1">
      <c r="B34" s="121"/>
      <c r="C34" s="122" t="s">
        <v>122</v>
      </c>
      <c r="D34" s="122"/>
      <c r="E34" s="123"/>
      <c r="F34" s="123"/>
      <c r="G34" s="124"/>
      <c r="H34" s="125">
        <f>H31+H33</f>
        <v>8889977379.7999992</v>
      </c>
    </row>
  </sheetData>
  <mergeCells count="14">
    <mergeCell ref="B1:H1"/>
    <mergeCell ref="B2:C3"/>
    <mergeCell ref="D2:H3"/>
    <mergeCell ref="A6:A13"/>
    <mergeCell ref="A14:F14"/>
    <mergeCell ref="B31:F31"/>
    <mergeCell ref="A15:A18"/>
    <mergeCell ref="A23:A24"/>
    <mergeCell ref="A19:F19"/>
    <mergeCell ref="A22:F22"/>
    <mergeCell ref="A25:F25"/>
    <mergeCell ref="A27:F27"/>
    <mergeCell ref="A29:F29"/>
    <mergeCell ref="A20:A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26518-C0C5-455A-86F1-AEA0A9ABA18C}">
  <dimension ref="A1:W42"/>
  <sheetViews>
    <sheetView zoomScale="90" zoomScaleNormal="90" workbookViewId="0">
      <pane xSplit="6" ySplit="5" topLeftCell="Q29" activePane="bottomRight" state="frozen"/>
      <selection pane="bottomRight" activeCell="U31" sqref="U31"/>
      <selection pane="bottomLeft" activeCell="A6" sqref="A6"/>
      <selection pane="topRight" activeCell="G1" sqref="G1"/>
    </sheetView>
  </sheetViews>
  <sheetFormatPr defaultColWidth="11.42578125" defaultRowHeight="16.899999999999999"/>
  <cols>
    <col min="1" max="1" width="20.7109375" style="72" customWidth="1"/>
    <col min="2" max="2" width="12.7109375" style="72" customWidth="1"/>
    <col min="3" max="3" width="25.85546875" style="72" customWidth="1"/>
    <col min="4" max="4" width="47.85546875" style="72" customWidth="1"/>
    <col min="5" max="5" width="19.42578125" style="72" customWidth="1"/>
    <col min="6" max="6" width="9.42578125" style="72" customWidth="1"/>
    <col min="7" max="8" width="16" style="72" bestFit="1" customWidth="1"/>
    <col min="9" max="18" width="18" style="72" customWidth="1"/>
    <col min="19" max="19" width="14.28515625" style="72" bestFit="1" customWidth="1"/>
    <col min="20" max="20" width="18.28515625" style="72" customWidth="1"/>
    <col min="21" max="21" width="22.140625" style="72" customWidth="1"/>
    <col min="22" max="22" width="21.140625" style="72" customWidth="1"/>
    <col min="23" max="23" width="17.7109375" style="72" customWidth="1"/>
    <col min="24" max="16384" width="11.42578125" style="72"/>
  </cols>
  <sheetData>
    <row r="1" spans="1:23" ht="47.25" customHeight="1">
      <c r="B1" s="194" t="s">
        <v>50</v>
      </c>
      <c r="C1" s="194"/>
      <c r="D1" s="194"/>
      <c r="E1" s="194"/>
      <c r="F1" s="194"/>
      <c r="G1" s="194"/>
    </row>
    <row r="2" spans="1:23">
      <c r="B2" s="195" t="s">
        <v>51</v>
      </c>
      <c r="C2" s="195"/>
      <c r="D2" s="196"/>
      <c r="E2" s="197"/>
      <c r="F2" s="197"/>
      <c r="G2" s="197"/>
    </row>
    <row r="3" spans="1:23">
      <c r="B3" s="195"/>
      <c r="C3" s="195"/>
      <c r="D3" s="199"/>
      <c r="E3" s="200"/>
      <c r="F3" s="200"/>
      <c r="G3" s="200"/>
    </row>
    <row r="4" spans="1:23" ht="50.45" customHeight="1">
      <c r="B4" s="73"/>
      <c r="C4" s="73"/>
      <c r="D4" s="74"/>
      <c r="E4" s="75"/>
      <c r="F4" s="75"/>
      <c r="G4" s="154" t="s">
        <v>123</v>
      </c>
      <c r="H4" s="154" t="s">
        <v>124</v>
      </c>
      <c r="I4" s="154" t="s">
        <v>125</v>
      </c>
      <c r="J4" s="154" t="s">
        <v>126</v>
      </c>
      <c r="K4" s="162"/>
      <c r="L4" s="162"/>
      <c r="M4" s="162"/>
      <c r="N4" s="162"/>
      <c r="O4" s="162"/>
      <c r="P4" s="162"/>
      <c r="Q4" s="162"/>
      <c r="R4" s="148"/>
      <c r="T4" s="207" t="s">
        <v>127</v>
      </c>
      <c r="U4" s="208"/>
      <c r="V4" s="208"/>
      <c r="W4" s="208"/>
    </row>
    <row r="5" spans="1:23" ht="50.45">
      <c r="A5" s="140" t="s">
        <v>52</v>
      </c>
      <c r="B5" s="140" t="s">
        <v>53</v>
      </c>
      <c r="C5" s="141" t="s">
        <v>54</v>
      </c>
      <c r="D5" s="140" t="s">
        <v>55</v>
      </c>
      <c r="E5" s="140" t="s">
        <v>128</v>
      </c>
      <c r="F5" s="140" t="s">
        <v>57</v>
      </c>
      <c r="G5" s="142" t="s">
        <v>58</v>
      </c>
      <c r="H5" s="142" t="s">
        <v>58</v>
      </c>
      <c r="I5" s="142" t="s">
        <v>58</v>
      </c>
      <c r="J5" s="142" t="s">
        <v>58</v>
      </c>
      <c r="K5" s="164" t="s">
        <v>129</v>
      </c>
      <c r="L5" s="164" t="s">
        <v>130</v>
      </c>
      <c r="M5" s="164" t="s">
        <v>131</v>
      </c>
      <c r="N5" s="164" t="s">
        <v>132</v>
      </c>
      <c r="O5" s="164" t="s">
        <v>133</v>
      </c>
      <c r="P5" s="164" t="s">
        <v>134</v>
      </c>
      <c r="Q5" s="164" t="s">
        <v>135</v>
      </c>
      <c r="R5" s="164" t="s">
        <v>136</v>
      </c>
      <c r="T5" s="140" t="s">
        <v>124</v>
      </c>
      <c r="U5" s="140" t="s">
        <v>125</v>
      </c>
      <c r="V5" s="142" t="s">
        <v>126</v>
      </c>
      <c r="W5" s="142" t="s">
        <v>137</v>
      </c>
    </row>
    <row r="6" spans="1:23" ht="151.15">
      <c r="A6" s="206" t="s">
        <v>60</v>
      </c>
      <c r="B6" s="77">
        <v>1.1000000000000001</v>
      </c>
      <c r="C6" s="78" t="s">
        <v>61</v>
      </c>
      <c r="D6" s="78" t="s">
        <v>62</v>
      </c>
      <c r="E6" s="79">
        <v>1</v>
      </c>
      <c r="F6" s="143">
        <v>7.5</v>
      </c>
      <c r="G6" s="155">
        <v>8590000</v>
      </c>
      <c r="H6" s="155">
        <v>4725000</v>
      </c>
      <c r="I6" s="155">
        <v>12000000</v>
      </c>
      <c r="J6" s="155">
        <v>14000000</v>
      </c>
      <c r="K6" s="155">
        <f>AVERAGE(G6:J6)</f>
        <v>9828750</v>
      </c>
      <c r="L6" s="155">
        <f>MEDIAN(G6:J6)</f>
        <v>10295000</v>
      </c>
      <c r="M6" s="155">
        <f>STDEVA(G6:J6)</f>
        <v>4070070.3822743245</v>
      </c>
      <c r="N6" s="163">
        <f>M6/K6</f>
        <v>0.41409847460504384</v>
      </c>
      <c r="O6" s="155">
        <f>MIN(G6:J6)</f>
        <v>4725000</v>
      </c>
      <c r="P6" s="155">
        <f>MAX(G6:J6)</f>
        <v>14000000</v>
      </c>
      <c r="Q6" s="155">
        <f>L6</f>
        <v>10295000</v>
      </c>
      <c r="R6" s="158"/>
      <c r="T6" s="138">
        <f t="shared" ref="T6:T40" si="0">G6-H6</f>
        <v>3865000</v>
      </c>
      <c r="U6" s="138">
        <f t="shared" ref="U6:U39" si="1">G6-I6</f>
        <v>-3410000</v>
      </c>
      <c r="V6" s="138">
        <f t="shared" ref="V6:V40" si="2">G6-J6</f>
        <v>-5410000</v>
      </c>
      <c r="W6" s="138">
        <f>G6-K6</f>
        <v>-1238750</v>
      </c>
    </row>
    <row r="7" spans="1:23" ht="184.9">
      <c r="A7" s="206"/>
      <c r="B7" s="77">
        <v>1.2</v>
      </c>
      <c r="C7" s="78" t="s">
        <v>63</v>
      </c>
      <c r="D7" s="78" t="s">
        <v>64</v>
      </c>
      <c r="E7" s="79">
        <v>1</v>
      </c>
      <c r="F7" s="143">
        <v>7.5</v>
      </c>
      <c r="G7" s="155">
        <v>8590000</v>
      </c>
      <c r="H7" s="155">
        <v>4725000</v>
      </c>
      <c r="I7" s="155">
        <v>8000000</v>
      </c>
      <c r="J7" s="155">
        <v>9200000</v>
      </c>
      <c r="K7" s="155">
        <f t="shared" ref="K7:K34" si="3">AVERAGE(G7:J7)</f>
        <v>7628750</v>
      </c>
      <c r="L7" s="155">
        <f t="shared" ref="L7:L33" si="4">MEDIAN(G7:J7)</f>
        <v>8295000</v>
      </c>
      <c r="M7" s="155">
        <f t="shared" ref="M7:M34" si="5">STDEVA(G7:J7)</f>
        <v>1996865.77332245</v>
      </c>
      <c r="N7" s="163">
        <f t="shared" ref="N7:N34" si="6">M7/K7</f>
        <v>0.26175530372897921</v>
      </c>
      <c r="O7" s="155">
        <f t="shared" ref="O7:O34" si="7">MIN(G7:J7)</f>
        <v>4725000</v>
      </c>
      <c r="P7" s="155">
        <f t="shared" ref="P7:P34" si="8">MAX(G7:J7)</f>
        <v>9200000</v>
      </c>
      <c r="Q7" s="155">
        <f t="shared" ref="Q7:Q40" si="9">L7</f>
        <v>8295000</v>
      </c>
      <c r="R7" s="158"/>
      <c r="T7" s="138">
        <f t="shared" si="0"/>
        <v>3865000</v>
      </c>
      <c r="U7" s="138">
        <f t="shared" si="1"/>
        <v>590000</v>
      </c>
      <c r="V7" s="138">
        <f t="shared" si="2"/>
        <v>-610000</v>
      </c>
      <c r="W7" s="138">
        <f t="shared" ref="W7:W40" si="10">G7-K7</f>
        <v>961250</v>
      </c>
    </row>
    <row r="8" spans="1:23" ht="117.6">
      <c r="A8" s="206"/>
      <c r="B8" s="79">
        <v>1.3</v>
      </c>
      <c r="C8" s="78" t="s">
        <v>65</v>
      </c>
      <c r="D8" s="78" t="s">
        <v>66</v>
      </c>
      <c r="E8" s="79">
        <v>10</v>
      </c>
      <c r="F8" s="143">
        <v>7</v>
      </c>
      <c r="G8" s="155">
        <v>4919200</v>
      </c>
      <c r="H8" s="155">
        <v>4725000</v>
      </c>
      <c r="I8" s="155">
        <v>6000000</v>
      </c>
      <c r="J8" s="155">
        <v>8500000</v>
      </c>
      <c r="K8" s="155">
        <f t="shared" si="3"/>
        <v>6036050</v>
      </c>
      <c r="L8" s="155">
        <f t="shared" si="4"/>
        <v>5459600</v>
      </c>
      <c r="M8" s="155">
        <f t="shared" si="5"/>
        <v>1735756.8214854677</v>
      </c>
      <c r="N8" s="163">
        <f t="shared" si="6"/>
        <v>0.28756501710314986</v>
      </c>
      <c r="O8" s="155">
        <f t="shared" si="7"/>
        <v>4725000</v>
      </c>
      <c r="P8" s="155">
        <f t="shared" si="8"/>
        <v>8500000</v>
      </c>
      <c r="Q8" s="155">
        <f t="shared" si="9"/>
        <v>5459600</v>
      </c>
      <c r="R8" s="158"/>
      <c r="T8" s="138">
        <f t="shared" si="0"/>
        <v>194200</v>
      </c>
      <c r="U8" s="138">
        <f t="shared" si="1"/>
        <v>-1080800</v>
      </c>
      <c r="V8" s="138">
        <f t="shared" si="2"/>
        <v>-3580800</v>
      </c>
      <c r="W8" s="138">
        <f t="shared" si="10"/>
        <v>-1116850</v>
      </c>
    </row>
    <row r="9" spans="1:23" ht="67.150000000000006">
      <c r="A9" s="206"/>
      <c r="B9" s="77">
        <v>1.4</v>
      </c>
      <c r="C9" s="86" t="s">
        <v>138</v>
      </c>
      <c r="D9" s="78" t="s">
        <v>139</v>
      </c>
      <c r="E9" s="79">
        <v>5</v>
      </c>
      <c r="F9" s="143">
        <v>7</v>
      </c>
      <c r="G9" s="156">
        <v>4919200</v>
      </c>
      <c r="H9" s="156">
        <v>4725000</v>
      </c>
      <c r="I9" s="156">
        <v>6000000</v>
      </c>
      <c r="J9" s="156">
        <v>8500000</v>
      </c>
      <c r="K9" s="155">
        <f t="shared" si="3"/>
        <v>6036050</v>
      </c>
      <c r="L9" s="155">
        <f t="shared" si="4"/>
        <v>5459600</v>
      </c>
      <c r="M9" s="155">
        <f t="shared" si="5"/>
        <v>1735756.8214854677</v>
      </c>
      <c r="N9" s="163">
        <f t="shared" si="6"/>
        <v>0.28756501710314986</v>
      </c>
      <c r="O9" s="155">
        <f t="shared" si="7"/>
        <v>4725000</v>
      </c>
      <c r="P9" s="155">
        <f t="shared" si="8"/>
        <v>8500000</v>
      </c>
      <c r="Q9" s="155">
        <f t="shared" si="9"/>
        <v>5459600</v>
      </c>
      <c r="R9" s="159"/>
      <c r="T9" s="138">
        <f t="shared" si="0"/>
        <v>194200</v>
      </c>
      <c r="U9" s="138">
        <f t="shared" si="1"/>
        <v>-1080800</v>
      </c>
      <c r="V9" s="138">
        <f t="shared" si="2"/>
        <v>-3580800</v>
      </c>
      <c r="W9" s="138">
        <f t="shared" si="10"/>
        <v>-1116850</v>
      </c>
    </row>
    <row r="10" spans="1:23" ht="50.45">
      <c r="A10" s="206"/>
      <c r="B10" s="77">
        <v>1.5</v>
      </c>
      <c r="C10" s="86" t="s">
        <v>69</v>
      </c>
      <c r="D10" s="78" t="s">
        <v>140</v>
      </c>
      <c r="E10" s="79">
        <v>5</v>
      </c>
      <c r="F10" s="143">
        <v>7</v>
      </c>
      <c r="G10" s="156">
        <v>4919200</v>
      </c>
      <c r="H10" s="156">
        <v>4725000</v>
      </c>
      <c r="I10" s="156">
        <v>6000000</v>
      </c>
      <c r="J10" s="156">
        <v>8500000</v>
      </c>
      <c r="K10" s="155">
        <f t="shared" si="3"/>
        <v>6036050</v>
      </c>
      <c r="L10" s="155">
        <f t="shared" si="4"/>
        <v>5459600</v>
      </c>
      <c r="M10" s="155">
        <f t="shared" si="5"/>
        <v>1735756.8214854677</v>
      </c>
      <c r="N10" s="163">
        <f t="shared" si="6"/>
        <v>0.28756501710314986</v>
      </c>
      <c r="O10" s="155">
        <f t="shared" si="7"/>
        <v>4725000</v>
      </c>
      <c r="P10" s="155">
        <f t="shared" si="8"/>
        <v>8500000</v>
      </c>
      <c r="Q10" s="155">
        <f t="shared" si="9"/>
        <v>5459600</v>
      </c>
      <c r="R10" s="159"/>
      <c r="T10" s="138">
        <f t="shared" si="0"/>
        <v>194200</v>
      </c>
      <c r="U10" s="138">
        <f t="shared" si="1"/>
        <v>-1080800</v>
      </c>
      <c r="V10" s="138">
        <f t="shared" si="2"/>
        <v>-3580800</v>
      </c>
      <c r="W10" s="138">
        <f t="shared" si="10"/>
        <v>-1116850</v>
      </c>
    </row>
    <row r="11" spans="1:23" ht="46.5" customHeight="1">
      <c r="A11" s="206"/>
      <c r="B11" s="77">
        <v>1.6</v>
      </c>
      <c r="C11" s="86" t="s">
        <v>75</v>
      </c>
      <c r="D11" s="78" t="s">
        <v>141</v>
      </c>
      <c r="E11" s="79">
        <v>10</v>
      </c>
      <c r="F11" s="143">
        <v>7</v>
      </c>
      <c r="G11" s="156">
        <v>4919200</v>
      </c>
      <c r="H11" s="156">
        <v>4725000</v>
      </c>
      <c r="I11" s="156">
        <v>6000000</v>
      </c>
      <c r="J11" s="156">
        <v>8500000</v>
      </c>
      <c r="K11" s="155">
        <f t="shared" si="3"/>
        <v>6036050</v>
      </c>
      <c r="L11" s="155">
        <f t="shared" si="4"/>
        <v>5459600</v>
      </c>
      <c r="M11" s="155">
        <f t="shared" si="5"/>
        <v>1735756.8214854677</v>
      </c>
      <c r="N11" s="163">
        <f t="shared" si="6"/>
        <v>0.28756501710314986</v>
      </c>
      <c r="O11" s="155">
        <f t="shared" si="7"/>
        <v>4725000</v>
      </c>
      <c r="P11" s="155">
        <f t="shared" si="8"/>
        <v>8500000</v>
      </c>
      <c r="Q11" s="155">
        <f t="shared" si="9"/>
        <v>5459600</v>
      </c>
      <c r="R11" s="159"/>
      <c r="T11" s="138">
        <f t="shared" si="0"/>
        <v>194200</v>
      </c>
      <c r="U11" s="138">
        <f t="shared" si="1"/>
        <v>-1080800</v>
      </c>
      <c r="V11" s="138">
        <f t="shared" si="2"/>
        <v>-3580800</v>
      </c>
      <c r="W11" s="138">
        <f t="shared" si="10"/>
        <v>-1116850</v>
      </c>
    </row>
    <row r="12" spans="1:23">
      <c r="A12" s="205" t="s">
        <v>77</v>
      </c>
      <c r="B12" s="205"/>
      <c r="C12" s="205"/>
      <c r="D12" s="205"/>
      <c r="E12" s="205"/>
      <c r="F12" s="205"/>
      <c r="G12" s="144">
        <f>SUM(G6:G11)</f>
        <v>36856800</v>
      </c>
      <c r="H12" s="144"/>
      <c r="I12" s="144"/>
      <c r="J12" s="144"/>
      <c r="K12" s="144"/>
      <c r="L12" s="144"/>
      <c r="M12" s="144"/>
      <c r="N12" s="144"/>
      <c r="O12" s="144"/>
      <c r="P12" s="144"/>
      <c r="Q12" s="144">
        <f t="shared" si="9"/>
        <v>0</v>
      </c>
      <c r="R12" s="149"/>
      <c r="T12" s="138">
        <f t="shared" si="0"/>
        <v>36856800</v>
      </c>
      <c r="U12" s="138">
        <f t="shared" si="1"/>
        <v>36856800</v>
      </c>
      <c r="V12" s="138">
        <f t="shared" si="2"/>
        <v>36856800</v>
      </c>
      <c r="W12" s="138">
        <f t="shared" si="10"/>
        <v>36856800</v>
      </c>
    </row>
    <row r="13" spans="1:23" ht="100.9">
      <c r="A13" s="206" t="s">
        <v>78</v>
      </c>
      <c r="B13" s="77" t="s">
        <v>79</v>
      </c>
      <c r="C13" s="86" t="s">
        <v>142</v>
      </c>
      <c r="D13" s="137" t="s">
        <v>143</v>
      </c>
      <c r="E13" s="77">
        <v>5</v>
      </c>
      <c r="F13" s="77">
        <v>20</v>
      </c>
      <c r="G13" s="155" t="e">
        <f>#REF!</f>
        <v>#REF!</v>
      </c>
      <c r="H13" s="165">
        <v>9750000</v>
      </c>
      <c r="I13" s="155">
        <v>3000000</v>
      </c>
      <c r="J13" s="155">
        <v>2400000</v>
      </c>
      <c r="K13" s="155" t="e">
        <f t="shared" si="3"/>
        <v>#REF!</v>
      </c>
      <c r="L13" s="155" t="e">
        <f t="shared" si="4"/>
        <v>#REF!</v>
      </c>
      <c r="M13" s="155" t="e">
        <f t="shared" si="5"/>
        <v>#REF!</v>
      </c>
      <c r="N13" s="163" t="e">
        <f t="shared" si="6"/>
        <v>#REF!</v>
      </c>
      <c r="O13" s="155" t="e">
        <f t="shared" si="7"/>
        <v>#REF!</v>
      </c>
      <c r="P13" s="155" t="e">
        <f t="shared" si="8"/>
        <v>#REF!</v>
      </c>
      <c r="Q13" s="155" t="e">
        <f t="shared" si="9"/>
        <v>#REF!</v>
      </c>
      <c r="R13" s="158"/>
      <c r="T13" s="138" t="e">
        <f t="shared" si="0"/>
        <v>#REF!</v>
      </c>
      <c r="U13" s="138" t="e">
        <f t="shared" si="1"/>
        <v>#REF!</v>
      </c>
      <c r="V13" s="138" t="e">
        <f t="shared" si="2"/>
        <v>#REF!</v>
      </c>
      <c r="W13" s="138" t="e">
        <f t="shared" si="10"/>
        <v>#REF!</v>
      </c>
    </row>
    <row r="14" spans="1:23" ht="33.6">
      <c r="A14" s="206"/>
      <c r="B14" s="77" t="s">
        <v>82</v>
      </c>
      <c r="C14" s="86" t="s">
        <v>144</v>
      </c>
      <c r="D14" s="137" t="s">
        <v>145</v>
      </c>
      <c r="E14" s="77">
        <v>100</v>
      </c>
      <c r="F14" s="77"/>
      <c r="G14" s="155">
        <v>80000</v>
      </c>
      <c r="H14" s="165">
        <v>1012500</v>
      </c>
      <c r="I14" s="155">
        <v>120000</v>
      </c>
      <c r="J14" s="165">
        <v>1000000</v>
      </c>
      <c r="K14" s="155">
        <f t="shared" si="3"/>
        <v>553125</v>
      </c>
      <c r="L14" s="155">
        <f t="shared" si="4"/>
        <v>560000</v>
      </c>
      <c r="M14" s="155">
        <f t="shared" si="5"/>
        <v>523503.32297576359</v>
      </c>
      <c r="N14" s="167">
        <f t="shared" si="6"/>
        <v>0.94644668560590028</v>
      </c>
      <c r="O14" s="155">
        <f t="shared" si="7"/>
        <v>80000</v>
      </c>
      <c r="P14" s="155">
        <f t="shared" si="8"/>
        <v>1012500</v>
      </c>
      <c r="Q14" s="165">
        <v>120000</v>
      </c>
      <c r="R14" s="166" t="s">
        <v>146</v>
      </c>
      <c r="T14" s="138">
        <f t="shared" si="0"/>
        <v>-932500</v>
      </c>
      <c r="U14" s="138">
        <f t="shared" si="1"/>
        <v>-40000</v>
      </c>
      <c r="V14" s="138">
        <f t="shared" si="2"/>
        <v>-920000</v>
      </c>
      <c r="W14" s="138">
        <f t="shared" si="10"/>
        <v>-473125</v>
      </c>
    </row>
    <row r="15" spans="1:23">
      <c r="A15" s="205" t="s">
        <v>91</v>
      </c>
      <c r="B15" s="205"/>
      <c r="C15" s="205"/>
      <c r="D15" s="205"/>
      <c r="E15" s="205"/>
      <c r="F15" s="205"/>
      <c r="G15" s="144" t="e">
        <f>SUM(G13:G13)</f>
        <v>#REF!</v>
      </c>
      <c r="H15" s="144"/>
      <c r="I15" s="144"/>
      <c r="J15" s="144"/>
      <c r="K15" s="144"/>
      <c r="L15" s="144"/>
      <c r="M15" s="144"/>
      <c r="N15" s="144"/>
      <c r="O15" s="144"/>
      <c r="P15" s="144"/>
      <c r="Q15" s="144">
        <f t="shared" si="9"/>
        <v>0</v>
      </c>
      <c r="R15" s="149"/>
      <c r="T15" s="138" t="e">
        <f t="shared" si="0"/>
        <v>#REF!</v>
      </c>
      <c r="U15" s="138" t="e">
        <f t="shared" si="1"/>
        <v>#REF!</v>
      </c>
      <c r="V15" s="138" t="e">
        <f t="shared" si="2"/>
        <v>#REF!</v>
      </c>
      <c r="W15" s="138" t="e">
        <f t="shared" si="10"/>
        <v>#REF!</v>
      </c>
    </row>
    <row r="16" spans="1:23" ht="63" customHeight="1">
      <c r="A16" s="206" t="s">
        <v>92</v>
      </c>
      <c r="B16" s="79">
        <v>3.1</v>
      </c>
      <c r="C16" s="127" t="s">
        <v>147</v>
      </c>
      <c r="D16" s="127" t="s">
        <v>148</v>
      </c>
      <c r="E16" s="79">
        <v>12</v>
      </c>
      <c r="F16" s="79">
        <v>3</v>
      </c>
      <c r="G16" s="155" t="e">
        <f>#REF!+#REF!</f>
        <v>#REF!</v>
      </c>
      <c r="H16" s="165">
        <v>4050000</v>
      </c>
      <c r="I16" s="155">
        <v>1200000</v>
      </c>
      <c r="J16" s="165">
        <v>12900000</v>
      </c>
      <c r="K16" s="155" t="e">
        <f t="shared" si="3"/>
        <v>#REF!</v>
      </c>
      <c r="L16" s="155" t="e">
        <f t="shared" si="4"/>
        <v>#REF!</v>
      </c>
      <c r="M16" s="155" t="e">
        <f t="shared" si="5"/>
        <v>#REF!</v>
      </c>
      <c r="N16" s="167" t="e">
        <f t="shared" si="6"/>
        <v>#REF!</v>
      </c>
      <c r="O16" s="165" t="e">
        <f t="shared" si="7"/>
        <v>#REF!</v>
      </c>
      <c r="P16" s="165" t="e">
        <f t="shared" si="8"/>
        <v>#REF!</v>
      </c>
      <c r="Q16" s="165">
        <f>I16</f>
        <v>1200000</v>
      </c>
      <c r="R16" s="166" t="s">
        <v>146</v>
      </c>
      <c r="T16" s="138" t="e">
        <f t="shared" si="0"/>
        <v>#REF!</v>
      </c>
      <c r="U16" s="138" t="e">
        <f t="shared" si="1"/>
        <v>#REF!</v>
      </c>
      <c r="V16" s="138" t="e">
        <f t="shared" si="2"/>
        <v>#REF!</v>
      </c>
      <c r="W16" s="138" t="e">
        <f t="shared" si="10"/>
        <v>#REF!</v>
      </c>
    </row>
    <row r="17" spans="1:23" ht="181.9" customHeight="1">
      <c r="A17" s="206"/>
      <c r="B17" s="77">
        <v>3.2</v>
      </c>
      <c r="C17" s="86" t="s">
        <v>95</v>
      </c>
      <c r="D17" s="171" t="s">
        <v>149</v>
      </c>
      <c r="E17" s="168">
        <v>100</v>
      </c>
      <c r="F17" s="168">
        <v>60</v>
      </c>
      <c r="G17" s="155" t="e">
        <f>#REF!</f>
        <v>#REF!</v>
      </c>
      <c r="H17" s="155">
        <v>46991890</v>
      </c>
      <c r="I17" s="165">
        <f>400000+70*16000+400000+30*16000</f>
        <v>2400000</v>
      </c>
      <c r="J17" s="165">
        <v>1400000</v>
      </c>
      <c r="K17" s="155" t="e">
        <f t="shared" si="3"/>
        <v>#REF!</v>
      </c>
      <c r="L17" s="155" t="e">
        <f t="shared" si="4"/>
        <v>#REF!</v>
      </c>
      <c r="M17" s="155" t="e">
        <f t="shared" si="5"/>
        <v>#REF!</v>
      </c>
      <c r="N17" s="167" t="e">
        <f t="shared" si="6"/>
        <v>#REF!</v>
      </c>
      <c r="O17" s="155" t="e">
        <f t="shared" si="7"/>
        <v>#REF!</v>
      </c>
      <c r="P17" s="155" t="e">
        <f t="shared" si="8"/>
        <v>#REF!</v>
      </c>
      <c r="Q17" s="165" t="e">
        <f>#REF!</f>
        <v>#REF!</v>
      </c>
      <c r="R17" s="169" t="s">
        <v>150</v>
      </c>
      <c r="T17" s="138" t="e">
        <f t="shared" si="0"/>
        <v>#REF!</v>
      </c>
      <c r="U17" s="138" t="e">
        <f t="shared" si="1"/>
        <v>#REF!</v>
      </c>
      <c r="V17" s="138" t="e">
        <f t="shared" si="2"/>
        <v>#REF!</v>
      </c>
      <c r="W17" s="138" t="e">
        <f t="shared" si="10"/>
        <v>#REF!</v>
      </c>
    </row>
    <row r="18" spans="1:23" ht="96.95" customHeight="1">
      <c r="A18" s="206"/>
      <c r="B18" s="77">
        <v>3.3</v>
      </c>
      <c r="C18" s="86" t="s">
        <v>151</v>
      </c>
      <c r="D18" s="127" t="s">
        <v>152</v>
      </c>
      <c r="E18" s="77">
        <v>80</v>
      </c>
      <c r="F18" s="77"/>
      <c r="G18" s="155" t="e">
        <f>#REF!</f>
        <v>#REF!</v>
      </c>
      <c r="H18" s="165">
        <v>15000000</v>
      </c>
      <c r="I18" s="155">
        <v>120000</v>
      </c>
      <c r="J18" s="155">
        <v>250000</v>
      </c>
      <c r="K18" s="155" t="e">
        <f t="shared" si="3"/>
        <v>#REF!</v>
      </c>
      <c r="L18" s="155" t="e">
        <f t="shared" si="4"/>
        <v>#REF!</v>
      </c>
      <c r="M18" s="155" t="e">
        <f t="shared" si="5"/>
        <v>#REF!</v>
      </c>
      <c r="N18" s="167" t="e">
        <f t="shared" si="6"/>
        <v>#REF!</v>
      </c>
      <c r="O18" s="165" t="e">
        <f t="shared" si="7"/>
        <v>#REF!</v>
      </c>
      <c r="P18" s="165" t="e">
        <f t="shared" si="8"/>
        <v>#REF!</v>
      </c>
      <c r="Q18" s="165" t="e">
        <f>AVERAGE(G18,I18,J18)</f>
        <v>#REF!</v>
      </c>
      <c r="R18" s="166" t="s">
        <v>153</v>
      </c>
      <c r="T18" s="138" t="e">
        <f t="shared" si="0"/>
        <v>#REF!</v>
      </c>
      <c r="U18" s="138" t="e">
        <f t="shared" si="1"/>
        <v>#REF!</v>
      </c>
      <c r="V18" s="138" t="e">
        <f t="shared" si="2"/>
        <v>#REF!</v>
      </c>
      <c r="W18" s="138" t="e">
        <f t="shared" si="10"/>
        <v>#REF!</v>
      </c>
    </row>
    <row r="19" spans="1:23" ht="99.95" customHeight="1">
      <c r="A19" s="206"/>
      <c r="B19" s="77">
        <v>3.4</v>
      </c>
      <c r="C19" s="86" t="s">
        <v>154</v>
      </c>
      <c r="D19" s="171" t="s">
        <v>155</v>
      </c>
      <c r="E19" s="77">
        <v>24</v>
      </c>
      <c r="F19" s="77">
        <v>20</v>
      </c>
      <c r="G19" s="155" t="e">
        <f>#REF!</f>
        <v>#REF!</v>
      </c>
      <c r="H19" s="165">
        <v>7425000</v>
      </c>
      <c r="I19" s="155">
        <v>190000</v>
      </c>
      <c r="J19" s="155">
        <v>900000</v>
      </c>
      <c r="K19" s="155" t="e">
        <f t="shared" si="3"/>
        <v>#REF!</v>
      </c>
      <c r="L19" s="155" t="e">
        <f t="shared" si="4"/>
        <v>#REF!</v>
      </c>
      <c r="M19" s="155" t="e">
        <f t="shared" si="5"/>
        <v>#REF!</v>
      </c>
      <c r="N19" s="167" t="e">
        <f t="shared" ref="N19" si="11">M19/K19</f>
        <v>#REF!</v>
      </c>
      <c r="O19" s="165" t="e">
        <f t="shared" ref="O19" si="12">MIN(G19:J19)</f>
        <v>#REF!</v>
      </c>
      <c r="P19" s="165" t="e">
        <f t="shared" ref="P19" si="13">MAX(G19:J19)</f>
        <v>#REF!</v>
      </c>
      <c r="Q19" s="165" t="e">
        <f>AVERAGE(G19,I19,J19)</f>
        <v>#REF!</v>
      </c>
      <c r="R19" s="166" t="s">
        <v>153</v>
      </c>
      <c r="T19" s="138" t="e">
        <f t="shared" si="0"/>
        <v>#REF!</v>
      </c>
      <c r="U19" s="138" t="e">
        <f t="shared" si="1"/>
        <v>#REF!</v>
      </c>
      <c r="V19" s="138" t="e">
        <f t="shared" si="2"/>
        <v>#REF!</v>
      </c>
      <c r="W19" s="138" t="e">
        <f t="shared" si="10"/>
        <v>#REF!</v>
      </c>
    </row>
    <row r="20" spans="1:23" ht="99.95" customHeight="1">
      <c r="A20" s="206"/>
      <c r="B20" s="77">
        <v>3.5</v>
      </c>
      <c r="C20" s="86" t="s">
        <v>156</v>
      </c>
      <c r="D20" s="171" t="s">
        <v>157</v>
      </c>
      <c r="E20" s="77">
        <v>60</v>
      </c>
      <c r="F20" s="77">
        <v>2</v>
      </c>
      <c r="G20" s="155" t="e">
        <f>#REF!</f>
        <v>#REF!</v>
      </c>
      <c r="H20" s="165">
        <v>7425000</v>
      </c>
      <c r="I20" s="155">
        <v>120000</v>
      </c>
      <c r="J20" s="165">
        <v>1300000</v>
      </c>
      <c r="K20" s="155" t="e">
        <f t="shared" si="3"/>
        <v>#REF!</v>
      </c>
      <c r="L20" s="155" t="e">
        <f t="shared" si="4"/>
        <v>#REF!</v>
      </c>
      <c r="M20" s="155" t="e">
        <f t="shared" si="5"/>
        <v>#REF!</v>
      </c>
      <c r="N20" s="167" t="e">
        <f t="shared" ref="N20" si="14">M20/K20</f>
        <v>#REF!</v>
      </c>
      <c r="O20" s="165" t="e">
        <f t="shared" ref="O20" si="15">MIN(G20:J20)</f>
        <v>#REF!</v>
      </c>
      <c r="P20" s="165" t="e">
        <f t="shared" ref="P20" si="16">MAX(G20:J20)</f>
        <v>#REF!</v>
      </c>
      <c r="Q20" s="165">
        <v>120000</v>
      </c>
      <c r="R20" s="166" t="s">
        <v>146</v>
      </c>
      <c r="T20" s="138" t="e">
        <f t="shared" si="0"/>
        <v>#REF!</v>
      </c>
      <c r="U20" s="138" t="e">
        <f t="shared" si="1"/>
        <v>#REF!</v>
      </c>
      <c r="V20" s="138" t="e">
        <f t="shared" si="2"/>
        <v>#REF!</v>
      </c>
      <c r="W20" s="138" t="e">
        <f t="shared" si="10"/>
        <v>#REF!</v>
      </c>
    </row>
    <row r="21" spans="1:23" ht="99.95" customHeight="1">
      <c r="A21" s="206"/>
      <c r="B21" s="77">
        <v>3.6</v>
      </c>
      <c r="C21" s="86" t="s">
        <v>158</v>
      </c>
      <c r="D21" s="127" t="s">
        <v>159</v>
      </c>
      <c r="E21" s="77">
        <v>1400</v>
      </c>
      <c r="F21" s="145"/>
      <c r="G21" s="155" t="e">
        <f>#REF!</f>
        <v>#REF!</v>
      </c>
      <c r="H21" s="165">
        <v>30000</v>
      </c>
      <c r="I21" s="155">
        <v>5000</v>
      </c>
      <c r="J21" s="155">
        <v>10000</v>
      </c>
      <c r="K21" s="155" t="e">
        <f t="shared" si="3"/>
        <v>#REF!</v>
      </c>
      <c r="L21" s="155" t="e">
        <f t="shared" si="4"/>
        <v>#REF!</v>
      </c>
      <c r="M21" s="155" t="e">
        <f t="shared" si="5"/>
        <v>#REF!</v>
      </c>
      <c r="N21" s="163" t="e">
        <f t="shared" si="6"/>
        <v>#REF!</v>
      </c>
      <c r="O21" s="155" t="e">
        <f t="shared" si="7"/>
        <v>#REF!</v>
      </c>
      <c r="P21" s="155" t="e">
        <f t="shared" si="8"/>
        <v>#REF!</v>
      </c>
      <c r="Q21" s="155" t="e">
        <f t="shared" si="9"/>
        <v>#REF!</v>
      </c>
      <c r="R21" s="158"/>
      <c r="T21" s="138" t="e">
        <f t="shared" si="0"/>
        <v>#REF!</v>
      </c>
      <c r="U21" s="138" t="e">
        <f t="shared" si="1"/>
        <v>#REF!</v>
      </c>
      <c r="V21" s="138" t="e">
        <f t="shared" si="2"/>
        <v>#REF!</v>
      </c>
      <c r="W21" s="138" t="e">
        <f t="shared" si="10"/>
        <v>#REF!</v>
      </c>
    </row>
    <row r="22" spans="1:23" ht="184.15" customHeight="1">
      <c r="A22" s="206"/>
      <c r="B22" s="77">
        <v>3.7</v>
      </c>
      <c r="C22" s="86" t="s">
        <v>160</v>
      </c>
      <c r="D22" s="127" t="s">
        <v>161</v>
      </c>
      <c r="E22" s="77">
        <v>1</v>
      </c>
      <c r="F22" s="77">
        <v>20</v>
      </c>
      <c r="G22" s="165" t="e">
        <f>#REF!</f>
        <v>#REF!</v>
      </c>
      <c r="H22" s="155">
        <v>135000</v>
      </c>
      <c r="I22" s="155">
        <f>10*3500+3000+11000+12*3500+3000+40000+6000+20000</f>
        <v>160000</v>
      </c>
      <c r="J22" s="155">
        <v>200000</v>
      </c>
      <c r="K22" s="155" t="e">
        <f t="shared" si="3"/>
        <v>#REF!</v>
      </c>
      <c r="L22" s="155" t="e">
        <f t="shared" si="4"/>
        <v>#REF!</v>
      </c>
      <c r="M22" s="155" t="e">
        <f t="shared" si="5"/>
        <v>#REF!</v>
      </c>
      <c r="N22" s="167" t="e">
        <f t="shared" si="6"/>
        <v>#REF!</v>
      </c>
      <c r="O22" s="165" t="e">
        <f t="shared" si="7"/>
        <v>#REF!</v>
      </c>
      <c r="P22" s="165" t="e">
        <f t="shared" si="8"/>
        <v>#REF!</v>
      </c>
      <c r="Q22" s="165" t="e">
        <f>L22</f>
        <v>#REF!</v>
      </c>
      <c r="R22" s="166" t="s">
        <v>162</v>
      </c>
      <c r="T22" s="138" t="e">
        <f t="shared" si="0"/>
        <v>#REF!</v>
      </c>
      <c r="U22" s="138" t="e">
        <f t="shared" si="1"/>
        <v>#REF!</v>
      </c>
      <c r="V22" s="138" t="e">
        <f t="shared" si="2"/>
        <v>#REF!</v>
      </c>
      <c r="W22" s="138" t="e">
        <f t="shared" si="10"/>
        <v>#REF!</v>
      </c>
    </row>
    <row r="23" spans="1:23">
      <c r="A23" s="205" t="s">
        <v>97</v>
      </c>
      <c r="B23" s="205"/>
      <c r="C23" s="205"/>
      <c r="D23" s="205"/>
      <c r="E23" s="205"/>
      <c r="F23" s="205"/>
      <c r="G23" s="144" t="e">
        <f>SUM(G17)</f>
        <v>#REF!</v>
      </c>
      <c r="H23" s="144"/>
      <c r="I23" s="144"/>
      <c r="J23" s="144"/>
      <c r="K23" s="144"/>
      <c r="L23" s="144"/>
      <c r="M23" s="144"/>
      <c r="N23" s="144"/>
      <c r="O23" s="144"/>
      <c r="P23" s="144"/>
      <c r="Q23" s="144">
        <f t="shared" si="9"/>
        <v>0</v>
      </c>
      <c r="R23" s="149"/>
      <c r="T23" s="138" t="e">
        <f t="shared" si="0"/>
        <v>#REF!</v>
      </c>
      <c r="U23" s="138" t="e">
        <f t="shared" si="1"/>
        <v>#REF!</v>
      </c>
      <c r="V23" s="138" t="e">
        <f t="shared" si="2"/>
        <v>#REF!</v>
      </c>
      <c r="W23" s="138" t="e">
        <f t="shared" si="10"/>
        <v>#REF!</v>
      </c>
    </row>
    <row r="24" spans="1:23" ht="67.150000000000006">
      <c r="A24" s="206" t="s">
        <v>98</v>
      </c>
      <c r="B24" s="77">
        <v>4.0999999999999996</v>
      </c>
      <c r="C24" s="86" t="s">
        <v>100</v>
      </c>
      <c r="D24" s="78" t="s">
        <v>163</v>
      </c>
      <c r="E24" s="77">
        <v>10</v>
      </c>
      <c r="F24" s="77">
        <v>20</v>
      </c>
      <c r="G24" s="155" t="e">
        <f>#REF!</f>
        <v>#REF!</v>
      </c>
      <c r="H24" s="165">
        <v>572500</v>
      </c>
      <c r="I24" s="155">
        <v>120000</v>
      </c>
      <c r="J24" s="155">
        <v>250000</v>
      </c>
      <c r="K24" s="155" t="e">
        <f t="shared" si="3"/>
        <v>#REF!</v>
      </c>
      <c r="L24" s="155" t="e">
        <f t="shared" si="4"/>
        <v>#REF!</v>
      </c>
      <c r="M24" s="155" t="e">
        <f t="shared" si="5"/>
        <v>#REF!</v>
      </c>
      <c r="N24" s="167" t="e">
        <f t="shared" si="6"/>
        <v>#REF!</v>
      </c>
      <c r="O24" s="155" t="e">
        <f t="shared" si="7"/>
        <v>#REF!</v>
      </c>
      <c r="P24" s="155" t="e">
        <f t="shared" si="8"/>
        <v>#REF!</v>
      </c>
      <c r="Q24" s="165" t="e">
        <f>AVERAGE(G24,I24,J24)</f>
        <v>#REF!</v>
      </c>
      <c r="R24" s="166" t="s">
        <v>153</v>
      </c>
      <c r="T24" s="138" t="e">
        <f t="shared" si="0"/>
        <v>#REF!</v>
      </c>
      <c r="U24" s="138" t="e">
        <f t="shared" si="1"/>
        <v>#REF!</v>
      </c>
      <c r="V24" s="138" t="e">
        <f t="shared" si="2"/>
        <v>#REF!</v>
      </c>
      <c r="W24" s="138" t="e">
        <f t="shared" si="10"/>
        <v>#REF!</v>
      </c>
    </row>
    <row r="25" spans="1:23" ht="36.6" customHeight="1">
      <c r="A25" s="206"/>
      <c r="B25" s="77">
        <v>4.2</v>
      </c>
      <c r="C25" s="86" t="s">
        <v>164</v>
      </c>
      <c r="D25" s="170" t="s">
        <v>165</v>
      </c>
      <c r="E25" s="77">
        <v>60</v>
      </c>
      <c r="F25" s="77">
        <v>1</v>
      </c>
      <c r="G25" s="155" t="e">
        <f>+#REF!</f>
        <v>#REF!</v>
      </c>
      <c r="H25" s="165">
        <v>6400000</v>
      </c>
      <c r="I25" s="155">
        <v>220000</v>
      </c>
      <c r="J25" s="155">
        <v>600000</v>
      </c>
      <c r="K25" s="155" t="e">
        <f t="shared" si="3"/>
        <v>#REF!</v>
      </c>
      <c r="L25" s="155" t="e">
        <f t="shared" si="4"/>
        <v>#REF!</v>
      </c>
      <c r="M25" s="155" t="e">
        <f t="shared" si="5"/>
        <v>#REF!</v>
      </c>
      <c r="N25" s="167" t="e">
        <f t="shared" si="6"/>
        <v>#REF!</v>
      </c>
      <c r="O25" s="165" t="e">
        <f t="shared" si="7"/>
        <v>#REF!</v>
      </c>
      <c r="P25" s="165" t="e">
        <f t="shared" si="8"/>
        <v>#REF!</v>
      </c>
      <c r="Q25" s="165">
        <v>475281.33333333331</v>
      </c>
      <c r="R25" s="166" t="s">
        <v>166</v>
      </c>
      <c r="T25" s="138" t="e">
        <f t="shared" si="0"/>
        <v>#REF!</v>
      </c>
      <c r="U25" s="138" t="e">
        <f t="shared" si="1"/>
        <v>#REF!</v>
      </c>
      <c r="V25" s="138" t="e">
        <f t="shared" si="2"/>
        <v>#REF!</v>
      </c>
      <c r="W25" s="138" t="e">
        <f t="shared" si="10"/>
        <v>#REF!</v>
      </c>
    </row>
    <row r="26" spans="1:23" ht="33.6">
      <c r="A26" s="206"/>
      <c r="B26" s="77">
        <v>4.3</v>
      </c>
      <c r="C26" s="170" t="s">
        <v>167</v>
      </c>
      <c r="D26" s="170" t="s">
        <v>168</v>
      </c>
      <c r="E26" s="77">
        <v>60</v>
      </c>
      <c r="F26" s="146">
        <v>1</v>
      </c>
      <c r="G26" s="155" t="e">
        <f>#REF!</f>
        <v>#REF!</v>
      </c>
      <c r="H26" s="165">
        <v>5400000</v>
      </c>
      <c r="I26" s="155">
        <v>200000</v>
      </c>
      <c r="J26" s="155">
        <v>1200000</v>
      </c>
      <c r="K26" s="155" t="e">
        <f t="shared" si="3"/>
        <v>#REF!</v>
      </c>
      <c r="L26" s="155" t="e">
        <f t="shared" si="4"/>
        <v>#REF!</v>
      </c>
      <c r="M26" s="155" t="e">
        <f t="shared" si="5"/>
        <v>#REF!</v>
      </c>
      <c r="N26" s="167" t="e">
        <f t="shared" si="6"/>
        <v>#REF!</v>
      </c>
      <c r="O26" s="165" t="e">
        <f t="shared" si="7"/>
        <v>#REF!</v>
      </c>
      <c r="P26" s="165" t="e">
        <f t="shared" si="8"/>
        <v>#REF!</v>
      </c>
      <c r="Q26" s="165">
        <v>120000</v>
      </c>
      <c r="R26" s="166" t="s">
        <v>169</v>
      </c>
      <c r="T26" s="138" t="e">
        <f t="shared" si="0"/>
        <v>#REF!</v>
      </c>
      <c r="U26" s="138" t="e">
        <f t="shared" si="1"/>
        <v>#REF!</v>
      </c>
      <c r="V26" s="138" t="e">
        <f t="shared" si="2"/>
        <v>#REF!</v>
      </c>
      <c r="W26" s="138" t="e">
        <f t="shared" si="10"/>
        <v>#REF!</v>
      </c>
    </row>
    <row r="27" spans="1:23" ht="134.44999999999999">
      <c r="A27" s="206"/>
      <c r="B27" s="77">
        <v>4.4000000000000004</v>
      </c>
      <c r="C27" s="86" t="s">
        <v>170</v>
      </c>
      <c r="D27" s="86" t="s">
        <v>171</v>
      </c>
      <c r="E27" s="77">
        <v>1</v>
      </c>
      <c r="F27" s="77">
        <v>20</v>
      </c>
      <c r="G27" s="155" t="e">
        <f>#REF!</f>
        <v>#REF!</v>
      </c>
      <c r="H27" s="165">
        <v>10700000</v>
      </c>
      <c r="I27" s="155">
        <f>400000+60*15000+400000</f>
        <v>1700000</v>
      </c>
      <c r="J27" s="155">
        <v>5000000</v>
      </c>
      <c r="K27" s="155" t="e">
        <f t="shared" si="3"/>
        <v>#REF!</v>
      </c>
      <c r="L27" s="155" t="e">
        <f t="shared" si="4"/>
        <v>#REF!</v>
      </c>
      <c r="M27" s="155" t="e">
        <f t="shared" si="5"/>
        <v>#REF!</v>
      </c>
      <c r="N27" s="167" t="e">
        <f t="shared" ref="N27" si="17">M27/K27</f>
        <v>#REF!</v>
      </c>
      <c r="O27" s="165" t="e">
        <f t="shared" ref="O27" si="18">MIN(G27:J27)</f>
        <v>#REF!</v>
      </c>
      <c r="P27" s="165" t="e">
        <f t="shared" ref="P27" si="19">MAX(G27:J27)</f>
        <v>#REF!</v>
      </c>
      <c r="Q27" s="165" t="e">
        <f>AVERAGE(G27,I27)</f>
        <v>#REF!</v>
      </c>
      <c r="R27" s="169" t="s">
        <v>172</v>
      </c>
      <c r="T27" s="138" t="e">
        <f t="shared" si="0"/>
        <v>#REF!</v>
      </c>
      <c r="U27" s="138" t="e">
        <f t="shared" si="1"/>
        <v>#REF!</v>
      </c>
      <c r="V27" s="138" t="e">
        <f t="shared" si="2"/>
        <v>#REF!</v>
      </c>
      <c r="W27" s="138" t="e">
        <f t="shared" si="10"/>
        <v>#REF!</v>
      </c>
    </row>
    <row r="28" spans="1:23" ht="50.45">
      <c r="A28" s="206"/>
      <c r="B28" s="77">
        <v>4.5</v>
      </c>
      <c r="C28" s="86" t="s">
        <v>103</v>
      </c>
      <c r="D28" s="86" t="s">
        <v>104</v>
      </c>
      <c r="E28" s="77">
        <v>1</v>
      </c>
      <c r="F28" s="77">
        <v>20</v>
      </c>
      <c r="G28" s="155">
        <v>160000000</v>
      </c>
      <c r="H28" s="165">
        <v>13500000</v>
      </c>
      <c r="I28" s="155">
        <v>160000000</v>
      </c>
      <c r="J28" s="155">
        <v>160000000</v>
      </c>
      <c r="K28" s="155">
        <f t="shared" si="3"/>
        <v>123375000</v>
      </c>
      <c r="L28" s="155">
        <f t="shared" si="4"/>
        <v>160000000</v>
      </c>
      <c r="M28" s="155">
        <f t="shared" si="5"/>
        <v>73250000</v>
      </c>
      <c r="N28" s="163">
        <f t="shared" si="6"/>
        <v>0.59371833839918942</v>
      </c>
      <c r="O28" s="155">
        <f t="shared" si="7"/>
        <v>13500000</v>
      </c>
      <c r="P28" s="155">
        <f t="shared" si="8"/>
        <v>160000000</v>
      </c>
      <c r="Q28" s="155">
        <f t="shared" si="9"/>
        <v>160000000</v>
      </c>
      <c r="R28" s="158"/>
      <c r="T28" s="138">
        <f t="shared" si="0"/>
        <v>146500000</v>
      </c>
      <c r="U28" s="138">
        <f t="shared" si="1"/>
        <v>0</v>
      </c>
      <c r="V28" s="138">
        <f t="shared" si="2"/>
        <v>0</v>
      </c>
      <c r="W28" s="138">
        <f t="shared" si="10"/>
        <v>36625000</v>
      </c>
    </row>
    <row r="29" spans="1:23">
      <c r="A29" s="205" t="s">
        <v>105</v>
      </c>
      <c r="B29" s="205"/>
      <c r="C29" s="205"/>
      <c r="D29" s="205"/>
      <c r="E29" s="205"/>
      <c r="F29" s="205"/>
      <c r="G29" s="144" t="e">
        <f>SUM(G28,G24)</f>
        <v>#REF!</v>
      </c>
      <c r="H29" s="144"/>
      <c r="I29" s="144"/>
      <c r="J29" s="144"/>
      <c r="K29" s="144"/>
      <c r="L29" s="144"/>
      <c r="M29" s="144"/>
      <c r="N29" s="144"/>
      <c r="O29" s="144"/>
      <c r="P29" s="144"/>
      <c r="Q29" s="144">
        <f t="shared" si="9"/>
        <v>0</v>
      </c>
      <c r="R29" s="149"/>
      <c r="T29" s="138" t="e">
        <f t="shared" si="0"/>
        <v>#REF!</v>
      </c>
      <c r="U29" s="138" t="e">
        <f t="shared" si="1"/>
        <v>#REF!</v>
      </c>
      <c r="V29" s="138" t="e">
        <f t="shared" si="2"/>
        <v>#REF!</v>
      </c>
      <c r="W29" s="138" t="e">
        <f t="shared" si="10"/>
        <v>#REF!</v>
      </c>
    </row>
    <row r="30" spans="1:23" ht="134.44999999999999">
      <c r="A30" s="206" t="s">
        <v>106</v>
      </c>
      <c r="B30" s="77">
        <v>5.0999999999999996</v>
      </c>
      <c r="C30" s="139" t="s">
        <v>173</v>
      </c>
      <c r="D30" s="86" t="s">
        <v>174</v>
      </c>
      <c r="E30" s="77">
        <v>120</v>
      </c>
      <c r="F30" s="77"/>
      <c r="G30" s="155" t="e">
        <f>#REF!</f>
        <v>#REF!</v>
      </c>
      <c r="H30" s="165">
        <v>13500000</v>
      </c>
      <c r="I30" s="155">
        <v>190000</v>
      </c>
      <c r="J30" s="155">
        <v>1300000</v>
      </c>
      <c r="K30" s="155" t="e">
        <f t="shared" si="3"/>
        <v>#REF!</v>
      </c>
      <c r="L30" s="155" t="e">
        <f t="shared" si="4"/>
        <v>#REF!</v>
      </c>
      <c r="M30" s="155" t="e">
        <f t="shared" si="5"/>
        <v>#REF!</v>
      </c>
      <c r="N30" s="167" t="e">
        <f t="shared" si="6"/>
        <v>#REF!</v>
      </c>
      <c r="O30" s="155" t="e">
        <f t="shared" si="7"/>
        <v>#REF!</v>
      </c>
      <c r="P30" s="155" t="e">
        <f t="shared" si="8"/>
        <v>#REF!</v>
      </c>
      <c r="Q30" s="165">
        <v>475281.33333333331</v>
      </c>
      <c r="R30" s="166" t="s">
        <v>166</v>
      </c>
      <c r="T30" s="138" t="e">
        <f t="shared" si="0"/>
        <v>#REF!</v>
      </c>
      <c r="U30" s="138" t="e">
        <f t="shared" si="1"/>
        <v>#REF!</v>
      </c>
      <c r="V30" s="138" t="e">
        <f t="shared" si="2"/>
        <v>#REF!</v>
      </c>
      <c r="W30" s="138" t="e">
        <f t="shared" si="10"/>
        <v>#REF!</v>
      </c>
    </row>
    <row r="31" spans="1:23" ht="84">
      <c r="A31" s="206"/>
      <c r="B31" s="77">
        <v>5.2</v>
      </c>
      <c r="C31" s="139" t="s">
        <v>175</v>
      </c>
      <c r="D31" s="86" t="s">
        <v>176</v>
      </c>
      <c r="E31" s="77">
        <v>120</v>
      </c>
      <c r="F31" s="77"/>
      <c r="G31" s="155" t="e">
        <f>#REF!</f>
        <v>#REF!</v>
      </c>
      <c r="H31" s="165">
        <v>18500000</v>
      </c>
      <c r="I31" s="155">
        <v>120000</v>
      </c>
      <c r="J31" s="155">
        <v>800000</v>
      </c>
      <c r="K31" s="155" t="e">
        <f t="shared" si="3"/>
        <v>#REF!</v>
      </c>
      <c r="L31" s="155" t="e">
        <f t="shared" si="4"/>
        <v>#REF!</v>
      </c>
      <c r="M31" s="155" t="e">
        <f t="shared" si="5"/>
        <v>#REF!</v>
      </c>
      <c r="N31" s="167" t="e">
        <f t="shared" si="6"/>
        <v>#REF!</v>
      </c>
      <c r="O31" s="155" t="e">
        <f t="shared" si="7"/>
        <v>#REF!</v>
      </c>
      <c r="P31" s="155" t="e">
        <f t="shared" si="8"/>
        <v>#REF!</v>
      </c>
      <c r="Q31" s="165">
        <v>120000</v>
      </c>
      <c r="R31" s="166" t="s">
        <v>169</v>
      </c>
      <c r="T31" s="138" t="e">
        <f t="shared" si="0"/>
        <v>#REF!</v>
      </c>
      <c r="U31" s="138" t="e">
        <f t="shared" si="1"/>
        <v>#REF!</v>
      </c>
      <c r="V31" s="138" t="e">
        <f t="shared" si="2"/>
        <v>#REF!</v>
      </c>
      <c r="W31" s="138" t="e">
        <f t="shared" si="10"/>
        <v>#REF!</v>
      </c>
    </row>
    <row r="32" spans="1:23">
      <c r="A32" s="205" t="s">
        <v>110</v>
      </c>
      <c r="B32" s="205"/>
      <c r="C32" s="205"/>
      <c r="D32" s="205"/>
      <c r="E32" s="205"/>
      <c r="F32" s="205"/>
      <c r="G32" s="144" t="e">
        <f>SUM(G30)</f>
        <v>#REF!</v>
      </c>
      <c r="H32" s="144"/>
      <c r="I32" s="144"/>
      <c r="J32" s="144"/>
      <c r="K32" s="144"/>
      <c r="L32" s="144"/>
      <c r="M32" s="144"/>
      <c r="N32" s="144"/>
      <c r="O32" s="144"/>
      <c r="P32" s="144"/>
      <c r="Q32" s="144">
        <f t="shared" si="9"/>
        <v>0</v>
      </c>
      <c r="R32" s="149"/>
      <c r="T32" s="138" t="e">
        <f t="shared" si="0"/>
        <v>#REF!</v>
      </c>
      <c r="U32" s="138" t="e">
        <f t="shared" si="1"/>
        <v>#REF!</v>
      </c>
      <c r="V32" s="138" t="e">
        <f t="shared" si="2"/>
        <v>#REF!</v>
      </c>
      <c r="W32" s="138" t="e">
        <f t="shared" si="10"/>
        <v>#REF!</v>
      </c>
    </row>
    <row r="33" spans="1:23" ht="52.15" customHeight="1">
      <c r="A33" s="206" t="s">
        <v>177</v>
      </c>
      <c r="B33" s="77">
        <v>6.1</v>
      </c>
      <c r="C33" s="86" t="s">
        <v>178</v>
      </c>
      <c r="D33" s="86" t="s">
        <v>179</v>
      </c>
      <c r="E33" s="77">
        <v>4</v>
      </c>
      <c r="F33" s="77">
        <v>1.5</v>
      </c>
      <c r="G33" s="155" t="e">
        <f>#REF!</f>
        <v>#REF!</v>
      </c>
      <c r="H33" s="165">
        <v>10500000</v>
      </c>
      <c r="I33" s="155">
        <f>190000*1.5</f>
        <v>285000</v>
      </c>
      <c r="J33" s="155">
        <v>500000</v>
      </c>
      <c r="K33" s="155" t="e">
        <f t="shared" si="3"/>
        <v>#REF!</v>
      </c>
      <c r="L33" s="155" t="e">
        <f t="shared" si="4"/>
        <v>#REF!</v>
      </c>
      <c r="M33" s="155" t="e">
        <f t="shared" si="5"/>
        <v>#REF!</v>
      </c>
      <c r="N33" s="167" t="e">
        <f t="shared" si="6"/>
        <v>#REF!</v>
      </c>
      <c r="O33" s="155" t="e">
        <f t="shared" si="7"/>
        <v>#REF!</v>
      </c>
      <c r="P33" s="155" t="e">
        <f t="shared" si="8"/>
        <v>#REF!</v>
      </c>
      <c r="Q33" s="165">
        <v>475281.33333333331</v>
      </c>
      <c r="R33" s="166" t="s">
        <v>166</v>
      </c>
      <c r="T33" s="138" t="e">
        <f t="shared" si="0"/>
        <v>#REF!</v>
      </c>
      <c r="U33" s="138" t="e">
        <f t="shared" si="1"/>
        <v>#REF!</v>
      </c>
      <c r="V33" s="138" t="e">
        <f t="shared" si="2"/>
        <v>#REF!</v>
      </c>
      <c r="W33" s="138" t="e">
        <f t="shared" si="10"/>
        <v>#REF!</v>
      </c>
    </row>
    <row r="34" spans="1:23" ht="52.15" customHeight="1">
      <c r="A34" s="206"/>
      <c r="B34" s="77">
        <v>6.2</v>
      </c>
      <c r="C34" s="86" t="s">
        <v>180</v>
      </c>
      <c r="D34" s="86" t="s">
        <v>181</v>
      </c>
      <c r="E34" s="77">
        <v>4</v>
      </c>
      <c r="F34" s="77">
        <v>1</v>
      </c>
      <c r="G34" s="155" t="e">
        <f>#REF!</f>
        <v>#REF!</v>
      </c>
      <c r="H34" s="165">
        <v>10500000</v>
      </c>
      <c r="I34" s="155">
        <v>1200000</v>
      </c>
      <c r="J34" s="155">
        <v>1000000</v>
      </c>
      <c r="K34" s="155" t="e">
        <f t="shared" si="3"/>
        <v>#REF!</v>
      </c>
      <c r="L34" s="155" t="e">
        <f>MEDIAN(G34:J34)</f>
        <v>#REF!</v>
      </c>
      <c r="M34" s="155" t="e">
        <f t="shared" si="5"/>
        <v>#REF!</v>
      </c>
      <c r="N34" s="167" t="e">
        <f t="shared" si="6"/>
        <v>#REF!</v>
      </c>
      <c r="O34" s="155" t="e">
        <f t="shared" si="7"/>
        <v>#REF!</v>
      </c>
      <c r="P34" s="155" t="e">
        <f t="shared" si="8"/>
        <v>#REF!</v>
      </c>
      <c r="Q34" s="165" t="e">
        <f>L34</f>
        <v>#REF!</v>
      </c>
      <c r="R34" s="149"/>
      <c r="T34" s="138" t="e">
        <f t="shared" si="0"/>
        <v>#REF!</v>
      </c>
      <c r="U34" s="138" t="e">
        <f t="shared" si="1"/>
        <v>#REF!</v>
      </c>
      <c r="V34" s="138" t="e">
        <f t="shared" si="2"/>
        <v>#REF!</v>
      </c>
      <c r="W34" s="138" t="e">
        <f t="shared" si="10"/>
        <v>#REF!</v>
      </c>
    </row>
    <row r="35" spans="1:23">
      <c r="A35" s="205" t="s">
        <v>115</v>
      </c>
      <c r="B35" s="205"/>
      <c r="C35" s="205"/>
      <c r="D35" s="205"/>
      <c r="E35" s="205"/>
      <c r="F35" s="205"/>
      <c r="G35" s="144" t="e">
        <f>SUM(G33)</f>
        <v>#REF!</v>
      </c>
      <c r="H35" s="144"/>
      <c r="I35" s="144"/>
      <c r="J35" s="144"/>
      <c r="K35" s="144"/>
      <c r="L35" s="144"/>
      <c r="M35" s="144"/>
      <c r="N35" s="144"/>
      <c r="O35" s="144"/>
      <c r="P35" s="144"/>
      <c r="Q35" s="144">
        <f t="shared" si="9"/>
        <v>0</v>
      </c>
      <c r="R35" s="149"/>
      <c r="T35" s="138" t="e">
        <f t="shared" si="0"/>
        <v>#REF!</v>
      </c>
      <c r="U35" s="138" t="e">
        <f t="shared" si="1"/>
        <v>#REF!</v>
      </c>
      <c r="V35" s="138" t="e">
        <f t="shared" si="2"/>
        <v>#REF!</v>
      </c>
      <c r="W35" s="138" t="e">
        <f t="shared" si="10"/>
        <v>#REF!</v>
      </c>
    </row>
    <row r="36" spans="1:23" ht="17.45" thickBot="1">
      <c r="A36" s="91"/>
      <c r="B36" s="91"/>
      <c r="C36" s="91"/>
      <c r="D36" s="91"/>
      <c r="E36" s="91"/>
      <c r="F36" s="91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>
        <f t="shared" si="9"/>
        <v>0</v>
      </c>
      <c r="R36" s="150"/>
      <c r="T36" s="138">
        <f t="shared" si="0"/>
        <v>0</v>
      </c>
      <c r="U36" s="138">
        <f t="shared" si="1"/>
        <v>0</v>
      </c>
      <c r="V36" s="138">
        <f t="shared" si="2"/>
        <v>0</v>
      </c>
      <c r="W36" s="138">
        <f t="shared" si="10"/>
        <v>0</v>
      </c>
    </row>
    <row r="37" spans="1:23">
      <c r="B37" s="186" t="s">
        <v>116</v>
      </c>
      <c r="C37" s="187"/>
      <c r="D37" s="187"/>
      <c r="E37" s="187"/>
      <c r="F37" s="187"/>
      <c r="G37" s="115" t="e">
        <f>SUM(G35,G32,G29,G23,G15,G12)</f>
        <v>#REF!</v>
      </c>
      <c r="H37" s="115"/>
      <c r="I37" s="161"/>
      <c r="J37" s="161"/>
      <c r="K37" s="161"/>
      <c r="L37" s="161"/>
      <c r="M37" s="161"/>
      <c r="N37" s="161"/>
      <c r="O37" s="161"/>
      <c r="P37" s="161"/>
      <c r="Q37" s="161">
        <f t="shared" si="9"/>
        <v>0</v>
      </c>
      <c r="R37" s="151"/>
      <c r="T37" s="138" t="e">
        <f t="shared" si="0"/>
        <v>#REF!</v>
      </c>
      <c r="U37" s="138" t="e">
        <f t="shared" si="1"/>
        <v>#REF!</v>
      </c>
      <c r="V37" s="138" t="e">
        <f t="shared" si="2"/>
        <v>#REF!</v>
      </c>
      <c r="W37" s="138" t="e">
        <f t="shared" si="10"/>
        <v>#REF!</v>
      </c>
    </row>
    <row r="38" spans="1:23">
      <c r="B38" s="117">
        <v>3</v>
      </c>
      <c r="C38" s="93" t="s">
        <v>117</v>
      </c>
      <c r="D38" s="94"/>
      <c r="E38" s="95" t="s">
        <v>118</v>
      </c>
      <c r="F38" s="95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>
        <f t="shared" si="9"/>
        <v>0</v>
      </c>
      <c r="R38" s="152"/>
      <c r="T38" s="138">
        <f t="shared" si="0"/>
        <v>0</v>
      </c>
      <c r="U38" s="138">
        <f t="shared" si="1"/>
        <v>0</v>
      </c>
      <c r="V38" s="138">
        <f t="shared" si="2"/>
        <v>0</v>
      </c>
      <c r="W38" s="138">
        <f t="shared" si="10"/>
        <v>0</v>
      </c>
    </row>
    <row r="39" spans="1:23" ht="67.150000000000006">
      <c r="B39" s="119">
        <v>3.1</v>
      </c>
      <c r="C39" s="97" t="s">
        <v>119</v>
      </c>
      <c r="D39" s="78" t="s">
        <v>120</v>
      </c>
      <c r="F39" s="77" t="s">
        <v>121</v>
      </c>
      <c r="G39" s="98">
        <v>0.14000000000000001</v>
      </c>
      <c r="H39" s="98">
        <v>0.05</v>
      </c>
      <c r="I39" s="98">
        <v>0.17499999999999999</v>
      </c>
      <c r="J39" s="98">
        <v>0.16</v>
      </c>
      <c r="K39" s="98">
        <f t="shared" ref="K39" si="20">AVERAGE(G39:J39)</f>
        <v>0.13125000000000001</v>
      </c>
      <c r="L39" s="98">
        <f t="shared" ref="L39" si="21">MEDIAN(G39:J39)</f>
        <v>0.15000000000000002</v>
      </c>
      <c r="M39" s="98">
        <f t="shared" ref="M39" si="22">STDEVA(G39:J39)</f>
        <v>5.6031984913380767E-2</v>
      </c>
      <c r="N39" s="98">
        <f t="shared" ref="N39" si="23">M39/K39</f>
        <v>0.4269103612448058</v>
      </c>
      <c r="O39" s="98">
        <f t="shared" ref="O39" si="24">MIN(G39:J39)</f>
        <v>0.05</v>
      </c>
      <c r="P39" s="98">
        <f t="shared" ref="P39" si="25">MAX(G39:J39)</f>
        <v>0.17499999999999999</v>
      </c>
      <c r="Q39" s="98">
        <f t="shared" ref="Q39" si="26">L39</f>
        <v>0.15000000000000002</v>
      </c>
      <c r="R39" s="160"/>
      <c r="T39" s="157">
        <f t="shared" si="0"/>
        <v>9.0000000000000011E-2</v>
      </c>
      <c r="U39" s="157">
        <f t="shared" si="1"/>
        <v>-3.4999999999999976E-2</v>
      </c>
      <c r="V39" s="157">
        <f t="shared" si="2"/>
        <v>-1.999999999999999E-2</v>
      </c>
      <c r="W39" s="157">
        <f t="shared" si="10"/>
        <v>8.7500000000000078E-3</v>
      </c>
    </row>
    <row r="40" spans="1:23" ht="34.15" thickBot="1">
      <c r="B40" s="121"/>
      <c r="C40" s="122" t="s">
        <v>182</v>
      </c>
      <c r="D40" s="122"/>
      <c r="E40" s="123"/>
      <c r="F40" s="123"/>
      <c r="G40" s="124"/>
      <c r="H40" s="124"/>
      <c r="I40" s="124"/>
      <c r="J40" s="147"/>
      <c r="K40" s="147"/>
      <c r="L40" s="147"/>
      <c r="M40" s="147"/>
      <c r="N40" s="147"/>
      <c r="O40" s="147"/>
      <c r="P40" s="147"/>
      <c r="Q40" s="147">
        <f t="shared" si="9"/>
        <v>0</v>
      </c>
      <c r="R40" s="153"/>
      <c r="T40" s="138">
        <f t="shared" si="0"/>
        <v>0</v>
      </c>
      <c r="U40" s="145"/>
      <c r="V40" s="138">
        <f t="shared" si="2"/>
        <v>0</v>
      </c>
      <c r="W40" s="138">
        <f t="shared" si="10"/>
        <v>0</v>
      </c>
    </row>
    <row r="41" spans="1:23" ht="17.45" thickBot="1">
      <c r="C41" s="122" t="s">
        <v>183</v>
      </c>
      <c r="H41" s="98">
        <v>0</v>
      </c>
      <c r="I41" s="98">
        <f>19%</f>
        <v>0.19</v>
      </c>
    </row>
    <row r="42" spans="1:23" ht="34.15" thickBot="1">
      <c r="C42" s="122" t="s">
        <v>184</v>
      </c>
      <c r="H42" s="124"/>
      <c r="I42" s="124"/>
    </row>
  </sheetData>
  <autoFilter ref="A5:W5" xr:uid="{B8626518-C0C5-455A-86F1-AEA0A9ABA18C}"/>
  <mergeCells count="17">
    <mergeCell ref="B1:G1"/>
    <mergeCell ref="B2:C3"/>
    <mergeCell ref="D2:G3"/>
    <mergeCell ref="A6:A11"/>
    <mergeCell ref="A12:F12"/>
    <mergeCell ref="T4:W4"/>
    <mergeCell ref="A32:F32"/>
    <mergeCell ref="A33:A34"/>
    <mergeCell ref="A35:F35"/>
    <mergeCell ref="B37:F37"/>
    <mergeCell ref="A15:F15"/>
    <mergeCell ref="A16:A22"/>
    <mergeCell ref="A23:F23"/>
    <mergeCell ref="A24:A28"/>
    <mergeCell ref="A29:F29"/>
    <mergeCell ref="A30:A31"/>
    <mergeCell ref="A13:A14"/>
  </mergeCells>
  <conditionalFormatting sqref="T6:T40">
    <cfRule type="cellIs" dxfId="1" priority="5" operator="lessThan">
      <formula>0</formula>
    </cfRule>
  </conditionalFormatting>
  <conditionalFormatting sqref="U6:W39 V40:W40">
    <cfRule type="cellIs" dxfId="0" priority="1" operator="lessThan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D9892-302C-457B-BBFF-DC3A6FD188EC}">
  <dimension ref="A1:J45"/>
  <sheetViews>
    <sheetView zoomScale="90" zoomScaleNormal="90" workbookViewId="0">
      <pane xSplit="6" ySplit="5" topLeftCell="I9" activePane="bottomRight" state="frozen"/>
      <selection pane="bottomRight" activeCell="J8" sqref="J8"/>
      <selection pane="bottomLeft" activeCell="A6" sqref="A6"/>
      <selection pane="topRight" activeCell="G1" sqref="G1"/>
    </sheetView>
  </sheetViews>
  <sheetFormatPr defaultColWidth="11.42578125" defaultRowHeight="16.899999999999999"/>
  <cols>
    <col min="1" max="1" width="20.7109375" style="72" customWidth="1"/>
    <col min="2" max="2" width="12.7109375" style="72" customWidth="1"/>
    <col min="3" max="3" width="25.85546875" style="72" customWidth="1"/>
    <col min="4" max="4" width="47.85546875" style="72" customWidth="1"/>
    <col min="5" max="5" width="19.42578125" style="72" customWidth="1"/>
    <col min="6" max="6" width="9.42578125" style="72" customWidth="1"/>
    <col min="7" max="8" width="18" style="72" hidden="1" customWidth="1"/>
    <col min="9" max="10" width="18" style="72" customWidth="1"/>
    <col min="11" max="16384" width="11.42578125" style="72"/>
  </cols>
  <sheetData>
    <row r="1" spans="1:10" ht="47.25" customHeight="1">
      <c r="B1" s="194" t="s">
        <v>50</v>
      </c>
      <c r="C1" s="194"/>
      <c r="D1" s="194"/>
      <c r="E1" s="194"/>
      <c r="F1" s="194"/>
    </row>
    <row r="2" spans="1:10">
      <c r="B2" s="195" t="s">
        <v>51</v>
      </c>
      <c r="C2" s="195"/>
      <c r="D2" s="196"/>
      <c r="E2" s="197"/>
      <c r="F2" s="197"/>
    </row>
    <row r="3" spans="1:10">
      <c r="B3" s="195"/>
      <c r="C3" s="195"/>
      <c r="D3" s="199"/>
      <c r="E3" s="200"/>
      <c r="F3" s="200"/>
    </row>
    <row r="4" spans="1:10" ht="50.45" customHeight="1">
      <c r="B4" s="73"/>
      <c r="C4" s="73"/>
      <c r="D4" s="74"/>
      <c r="E4" s="75"/>
      <c r="F4" s="75"/>
      <c r="G4" s="162"/>
      <c r="H4" s="162"/>
      <c r="I4" s="162"/>
      <c r="J4" s="162"/>
    </row>
    <row r="5" spans="1:10" ht="50.45">
      <c r="A5" s="140" t="s">
        <v>52</v>
      </c>
      <c r="B5" s="140" t="s">
        <v>53</v>
      </c>
      <c r="C5" s="141" t="s">
        <v>54</v>
      </c>
      <c r="D5" s="140" t="s">
        <v>55</v>
      </c>
      <c r="E5" s="140" t="s">
        <v>128</v>
      </c>
      <c r="F5" s="140" t="s">
        <v>57</v>
      </c>
      <c r="G5" s="164" t="s">
        <v>133</v>
      </c>
      <c r="H5" s="164" t="s">
        <v>134</v>
      </c>
      <c r="I5" s="164" t="s">
        <v>185</v>
      </c>
      <c r="J5" s="164" t="s">
        <v>186</v>
      </c>
    </row>
    <row r="6" spans="1:10" ht="151.15">
      <c r="A6" s="206" t="s">
        <v>60</v>
      </c>
      <c r="B6" s="77">
        <v>1.1000000000000001</v>
      </c>
      <c r="C6" s="78" t="s">
        <v>61</v>
      </c>
      <c r="D6" s="78" t="s">
        <v>62</v>
      </c>
      <c r="E6" s="79">
        <v>1</v>
      </c>
      <c r="F6" s="143">
        <v>7.5</v>
      </c>
      <c r="G6" s="155" t="e">
        <f>MIN(#REF!)</f>
        <v>#REF!</v>
      </c>
      <c r="H6" s="155" t="e">
        <f>MAX(#REF!)</f>
        <v>#REF!</v>
      </c>
      <c r="I6" s="81">
        <v>10295000</v>
      </c>
      <c r="J6" s="155">
        <f t="shared" ref="J6:J11" si="0">E6*F6*I6</f>
        <v>77212500</v>
      </c>
    </row>
    <row r="7" spans="1:10" ht="184.9">
      <c r="A7" s="206"/>
      <c r="B7" s="77">
        <v>1.2</v>
      </c>
      <c r="C7" s="78" t="s">
        <v>63</v>
      </c>
      <c r="D7" s="78" t="s">
        <v>64</v>
      </c>
      <c r="E7" s="79">
        <v>1</v>
      </c>
      <c r="F7" s="143">
        <v>7.5</v>
      </c>
      <c r="G7" s="155" t="e">
        <f>MIN(#REF!)</f>
        <v>#REF!</v>
      </c>
      <c r="H7" s="155" t="e">
        <f>MAX(#REF!)</f>
        <v>#REF!</v>
      </c>
      <c r="I7" s="81">
        <v>8295000</v>
      </c>
      <c r="J7" s="155">
        <f t="shared" si="0"/>
        <v>62212500</v>
      </c>
    </row>
    <row r="8" spans="1:10" ht="117.6">
      <c r="A8" s="206"/>
      <c r="B8" s="79">
        <v>1.3</v>
      </c>
      <c r="C8" s="78" t="s">
        <v>65</v>
      </c>
      <c r="D8" s="78" t="s">
        <v>66</v>
      </c>
      <c r="E8" s="79">
        <v>10</v>
      </c>
      <c r="F8" s="143">
        <v>7</v>
      </c>
      <c r="G8" s="155" t="e">
        <f>MIN(#REF!)</f>
        <v>#REF!</v>
      </c>
      <c r="H8" s="155" t="e">
        <f>MAX(#REF!)</f>
        <v>#REF!</v>
      </c>
      <c r="I8" s="81">
        <v>5459600</v>
      </c>
      <c r="J8" s="155">
        <f t="shared" si="0"/>
        <v>382172000</v>
      </c>
    </row>
    <row r="9" spans="1:10" ht="67.150000000000006">
      <c r="A9" s="206"/>
      <c r="B9" s="77">
        <v>1.4</v>
      </c>
      <c r="C9" s="86" t="s">
        <v>138</v>
      </c>
      <c r="D9" s="78" t="s">
        <v>139</v>
      </c>
      <c r="E9" s="79">
        <v>5</v>
      </c>
      <c r="F9" s="143">
        <v>7</v>
      </c>
      <c r="G9" s="155" t="e">
        <f>MIN(#REF!)</f>
        <v>#REF!</v>
      </c>
      <c r="H9" s="155" t="e">
        <f>MAX(#REF!)</f>
        <v>#REF!</v>
      </c>
      <c r="I9" s="81">
        <v>5459600</v>
      </c>
      <c r="J9" s="155">
        <f t="shared" si="0"/>
        <v>191086000</v>
      </c>
    </row>
    <row r="10" spans="1:10" ht="50.45">
      <c r="A10" s="206"/>
      <c r="B10" s="77">
        <v>1.5</v>
      </c>
      <c r="C10" s="86" t="s">
        <v>69</v>
      </c>
      <c r="D10" s="78" t="s">
        <v>140</v>
      </c>
      <c r="E10" s="79">
        <v>5</v>
      </c>
      <c r="F10" s="143">
        <v>7</v>
      </c>
      <c r="G10" s="155" t="e">
        <f>MIN(#REF!)</f>
        <v>#REF!</v>
      </c>
      <c r="H10" s="155" t="e">
        <f>MAX(#REF!)</f>
        <v>#REF!</v>
      </c>
      <c r="I10" s="81">
        <v>5459600</v>
      </c>
      <c r="J10" s="155">
        <f t="shared" si="0"/>
        <v>191086000</v>
      </c>
    </row>
    <row r="11" spans="1:10" ht="46.5" customHeight="1">
      <c r="A11" s="206"/>
      <c r="B11" s="77">
        <v>1.6</v>
      </c>
      <c r="C11" s="86" t="s">
        <v>75</v>
      </c>
      <c r="D11" s="78" t="s">
        <v>141</v>
      </c>
      <c r="E11" s="79">
        <v>10</v>
      </c>
      <c r="F11" s="143">
        <v>7</v>
      </c>
      <c r="G11" s="155" t="e">
        <f>MIN(#REF!)</f>
        <v>#REF!</v>
      </c>
      <c r="H11" s="155" t="e">
        <f>MAX(#REF!)</f>
        <v>#REF!</v>
      </c>
      <c r="I11" s="81">
        <v>5459600</v>
      </c>
      <c r="J11" s="155">
        <f t="shared" si="0"/>
        <v>382172000</v>
      </c>
    </row>
    <row r="12" spans="1:10">
      <c r="A12" s="205" t="s">
        <v>77</v>
      </c>
      <c r="B12" s="205"/>
      <c r="C12" s="205"/>
      <c r="D12" s="205"/>
      <c r="E12" s="205"/>
      <c r="F12" s="205"/>
      <c r="G12" s="144"/>
      <c r="H12" s="144"/>
      <c r="I12" s="144">
        <v>0</v>
      </c>
      <c r="J12" s="144">
        <f>SUM(J6:J11)</f>
        <v>1285941000</v>
      </c>
    </row>
    <row r="13" spans="1:10" ht="100.9">
      <c r="A13" s="206" t="s">
        <v>78</v>
      </c>
      <c r="B13" s="77" t="s">
        <v>79</v>
      </c>
      <c r="C13" s="86" t="s">
        <v>142</v>
      </c>
      <c r="D13" s="137" t="s">
        <v>143</v>
      </c>
      <c r="E13" s="77">
        <v>5</v>
      </c>
      <c r="F13" s="77">
        <v>20</v>
      </c>
      <c r="G13" s="155" t="e">
        <f>MIN(#REF!)</f>
        <v>#REF!</v>
      </c>
      <c r="H13" s="155" t="e">
        <f>MAX(#REF!)</f>
        <v>#REF!</v>
      </c>
      <c r="I13" s="81">
        <v>2700000</v>
      </c>
      <c r="J13" s="155">
        <f>E13*F13*I13</f>
        <v>270000000</v>
      </c>
    </row>
    <row r="14" spans="1:10" ht="33.6">
      <c r="A14" s="206"/>
      <c r="B14" s="77" t="s">
        <v>82</v>
      </c>
      <c r="C14" s="86" t="s">
        <v>144</v>
      </c>
      <c r="D14" s="137" t="s">
        <v>145</v>
      </c>
      <c r="E14" s="77">
        <v>100</v>
      </c>
      <c r="F14" s="77"/>
      <c r="G14" s="155" t="e">
        <f>MIN(#REF!)</f>
        <v>#REF!</v>
      </c>
      <c r="H14" s="155" t="e">
        <f>MAX(#REF!)</f>
        <v>#REF!</v>
      </c>
      <c r="I14" s="81">
        <v>105000</v>
      </c>
      <c r="J14" s="155">
        <f>E14*I14</f>
        <v>10500000</v>
      </c>
    </row>
    <row r="15" spans="1:10">
      <c r="A15" s="205" t="s">
        <v>91</v>
      </c>
      <c r="B15" s="205"/>
      <c r="C15" s="205"/>
      <c r="D15" s="205"/>
      <c r="E15" s="205"/>
      <c r="F15" s="205"/>
      <c r="G15" s="144"/>
      <c r="H15" s="144"/>
      <c r="I15" s="144">
        <v>0</v>
      </c>
      <c r="J15" s="144">
        <f>SUM(J13:J14)</f>
        <v>280500000</v>
      </c>
    </row>
    <row r="16" spans="1:10" ht="63" customHeight="1">
      <c r="A16" s="206" t="s">
        <v>92</v>
      </c>
      <c r="B16" s="79">
        <v>3.1</v>
      </c>
      <c r="C16" s="174" t="s">
        <v>147</v>
      </c>
      <c r="D16" s="174" t="s">
        <v>148</v>
      </c>
      <c r="E16" s="77">
        <v>12</v>
      </c>
      <c r="F16" s="77">
        <v>3</v>
      </c>
      <c r="G16" s="155" t="e">
        <f>MIN(#REF!)</f>
        <v>#REF!</v>
      </c>
      <c r="H16" s="155" t="e">
        <f>MAX(#REF!)</f>
        <v>#REF!</v>
      </c>
      <c r="I16" s="81">
        <v>899130</v>
      </c>
      <c r="J16" s="155">
        <f>E16*F16*I16</f>
        <v>32368680</v>
      </c>
    </row>
    <row r="17" spans="1:10" ht="181.9" customHeight="1">
      <c r="A17" s="206"/>
      <c r="B17" s="77">
        <v>3.2</v>
      </c>
      <c r="C17" s="86" t="s">
        <v>95</v>
      </c>
      <c r="D17" s="174" t="s">
        <v>149</v>
      </c>
      <c r="E17" s="77">
        <v>100</v>
      </c>
      <c r="F17" s="77">
        <v>60</v>
      </c>
      <c r="G17" s="155" t="e">
        <f>MIN(#REF!)</f>
        <v>#REF!</v>
      </c>
      <c r="H17" s="155" t="e">
        <f>MAX(#REF!)</f>
        <v>#REF!</v>
      </c>
      <c r="I17" s="81">
        <v>9720</v>
      </c>
      <c r="J17" s="155">
        <f>E17*F17*I17</f>
        <v>58320000</v>
      </c>
    </row>
    <row r="18" spans="1:10" ht="96.95" customHeight="1">
      <c r="A18" s="206"/>
      <c r="B18" s="77">
        <v>3.3</v>
      </c>
      <c r="C18" s="86" t="s">
        <v>151</v>
      </c>
      <c r="D18" s="174" t="s">
        <v>152</v>
      </c>
      <c r="E18" s="77">
        <v>80</v>
      </c>
      <c r="F18" s="77"/>
      <c r="G18" s="155" t="e">
        <f>MIN(#REF!)</f>
        <v>#REF!</v>
      </c>
      <c r="H18" s="155" t="e">
        <f>MAX(#REF!)</f>
        <v>#REF!</v>
      </c>
      <c r="I18" s="81">
        <v>153333.33333333334</v>
      </c>
      <c r="J18" s="155">
        <f>E18*I18</f>
        <v>12266666.666666668</v>
      </c>
    </row>
    <row r="19" spans="1:10" ht="99.95" customHeight="1">
      <c r="A19" s="206"/>
      <c r="B19" s="77">
        <v>3.4</v>
      </c>
      <c r="C19" s="86" t="s">
        <v>154</v>
      </c>
      <c r="D19" s="174" t="s">
        <v>155</v>
      </c>
      <c r="E19" s="77">
        <v>24</v>
      </c>
      <c r="F19" s="77">
        <v>20</v>
      </c>
      <c r="G19" s="155" t="e">
        <f>MIN(#REF!)</f>
        <v>#REF!</v>
      </c>
      <c r="H19" s="155" t="e">
        <f>MAX(#REF!)</f>
        <v>#REF!</v>
      </c>
      <c r="I19" s="81">
        <v>475281.33333333331</v>
      </c>
      <c r="J19" s="155">
        <f>E19*F19*I19</f>
        <v>228135040</v>
      </c>
    </row>
    <row r="20" spans="1:10" ht="99.95" customHeight="1">
      <c r="A20" s="206"/>
      <c r="B20" s="77">
        <v>3.5</v>
      </c>
      <c r="C20" s="86" t="s">
        <v>156</v>
      </c>
      <c r="D20" s="174" t="s">
        <v>157</v>
      </c>
      <c r="E20" s="77">
        <v>60</v>
      </c>
      <c r="F20" s="77">
        <v>2</v>
      </c>
      <c r="G20" s="155" t="e">
        <f>MIN(#REF!)</f>
        <v>#REF!</v>
      </c>
      <c r="H20" s="155" t="e">
        <f>MAX(#REF!)</f>
        <v>#REF!</v>
      </c>
      <c r="I20" s="81">
        <v>105000</v>
      </c>
      <c r="J20" s="155">
        <f>E20*F20*I20</f>
        <v>12600000</v>
      </c>
    </row>
    <row r="21" spans="1:10" ht="99.95" customHeight="1">
      <c r="A21" s="206"/>
      <c r="B21" s="77">
        <v>3.6</v>
      </c>
      <c r="C21" s="86" t="s">
        <v>158</v>
      </c>
      <c r="D21" s="174" t="s">
        <v>159</v>
      </c>
      <c r="E21" s="77">
        <v>1400</v>
      </c>
      <c r="F21" s="145"/>
      <c r="G21" s="155" t="e">
        <f>MIN(#REF!)</f>
        <v>#REF!</v>
      </c>
      <c r="H21" s="155" t="e">
        <f>MAX(#REF!)</f>
        <v>#REF!</v>
      </c>
      <c r="I21" s="81">
        <v>7500</v>
      </c>
      <c r="J21" s="155">
        <f>E21*I21</f>
        <v>10500000</v>
      </c>
    </row>
    <row r="22" spans="1:10" ht="184.15" customHeight="1">
      <c r="A22" s="206"/>
      <c r="B22" s="77">
        <v>3.7</v>
      </c>
      <c r="C22" s="86" t="s">
        <v>160</v>
      </c>
      <c r="D22" s="174" t="s">
        <v>161</v>
      </c>
      <c r="E22" s="77">
        <v>1</v>
      </c>
      <c r="F22" s="77">
        <v>20</v>
      </c>
      <c r="G22" s="155" t="e">
        <f>MIN(#REF!)</f>
        <v>#REF!</v>
      </c>
      <c r="H22" s="155" t="e">
        <f>MAX(#REF!)</f>
        <v>#REF!</v>
      </c>
      <c r="I22" s="81">
        <v>147500</v>
      </c>
      <c r="J22" s="155">
        <f>E22*F22*I22</f>
        <v>2950000</v>
      </c>
    </row>
    <row r="23" spans="1:10">
      <c r="A23" s="205" t="s">
        <v>97</v>
      </c>
      <c r="B23" s="205"/>
      <c r="C23" s="205"/>
      <c r="D23" s="205"/>
      <c r="E23" s="205"/>
      <c r="F23" s="205"/>
      <c r="G23" s="144"/>
      <c r="H23" s="144"/>
      <c r="I23" s="144">
        <v>0</v>
      </c>
      <c r="J23" s="144">
        <f>SUM(J16:J22)</f>
        <v>357140386.66666669</v>
      </c>
    </row>
    <row r="24" spans="1:10" ht="67.150000000000006">
      <c r="A24" s="206" t="s">
        <v>98</v>
      </c>
      <c r="B24" s="77">
        <v>4.0999999999999996</v>
      </c>
      <c r="C24" s="86" t="s">
        <v>100</v>
      </c>
      <c r="D24" s="86" t="s">
        <v>163</v>
      </c>
      <c r="E24" s="77">
        <v>10</v>
      </c>
      <c r="F24" s="77">
        <v>20</v>
      </c>
      <c r="G24" s="155" t="e">
        <f>MIN(#REF!)</f>
        <v>#REF!</v>
      </c>
      <c r="H24" s="155" t="e">
        <f>MAX(#REF!)</f>
        <v>#REF!</v>
      </c>
      <c r="I24" s="81">
        <v>153333.33333333334</v>
      </c>
      <c r="J24" s="155">
        <f>E24*F24*I24</f>
        <v>30666666.666666668</v>
      </c>
    </row>
    <row r="25" spans="1:10" ht="36.6" customHeight="1">
      <c r="A25" s="206"/>
      <c r="B25" s="77">
        <v>4.2</v>
      </c>
      <c r="C25" s="86" t="s">
        <v>164</v>
      </c>
      <c r="D25" s="86" t="s">
        <v>165</v>
      </c>
      <c r="E25" s="77">
        <v>60</v>
      </c>
      <c r="F25" s="77">
        <v>1</v>
      </c>
      <c r="G25" s="155" t="e">
        <f>MIN(#REF!)</f>
        <v>#REF!</v>
      </c>
      <c r="H25" s="155" t="e">
        <f>MAX(#REF!)</f>
        <v>#REF!</v>
      </c>
      <c r="I25" s="81">
        <v>475281.33333333331</v>
      </c>
      <c r="J25" s="155">
        <f>E25*F25*I25</f>
        <v>28516880</v>
      </c>
    </row>
    <row r="26" spans="1:10" ht="33.6">
      <c r="A26" s="206"/>
      <c r="B26" s="77">
        <v>4.3</v>
      </c>
      <c r="C26" s="86" t="s">
        <v>167</v>
      </c>
      <c r="D26" s="86" t="s">
        <v>168</v>
      </c>
      <c r="E26" s="77">
        <v>60</v>
      </c>
      <c r="F26" s="146">
        <v>1</v>
      </c>
      <c r="G26" s="155" t="e">
        <f>MIN(#REF!)</f>
        <v>#REF!</v>
      </c>
      <c r="H26" s="155" t="e">
        <f>MAX(#REF!)</f>
        <v>#REF!</v>
      </c>
      <c r="I26" s="81">
        <v>105000</v>
      </c>
      <c r="J26" s="155">
        <f>E26*F26*I26</f>
        <v>6300000</v>
      </c>
    </row>
    <row r="27" spans="1:10" ht="50.45">
      <c r="A27" s="206"/>
      <c r="B27" s="77">
        <v>4.4000000000000004</v>
      </c>
      <c r="C27" s="86" t="s">
        <v>170</v>
      </c>
      <c r="D27" s="86" t="s">
        <v>171</v>
      </c>
      <c r="E27" s="77">
        <v>1</v>
      </c>
      <c r="F27" s="77">
        <v>20</v>
      </c>
      <c r="G27" s="155" t="e">
        <f>MIN(#REF!)</f>
        <v>#REF!</v>
      </c>
      <c r="H27" s="155" t="e">
        <f>MAX(#REF!)</f>
        <v>#REF!</v>
      </c>
      <c r="I27" s="81">
        <v>1206130</v>
      </c>
      <c r="J27" s="155">
        <f>E27*F27*I27</f>
        <v>24122600</v>
      </c>
    </row>
    <row r="28" spans="1:10" ht="50.45">
      <c r="A28" s="206"/>
      <c r="B28" s="77">
        <v>4.5</v>
      </c>
      <c r="C28" s="86" t="s">
        <v>103</v>
      </c>
      <c r="D28" s="86" t="s">
        <v>104</v>
      </c>
      <c r="E28" s="77">
        <v>1</v>
      </c>
      <c r="F28" s="77">
        <v>20</v>
      </c>
      <c r="G28" s="155" t="e">
        <f>MIN(#REF!)</f>
        <v>#REF!</v>
      </c>
      <c r="H28" s="155" t="e">
        <f>MAX(#REF!)</f>
        <v>#REF!</v>
      </c>
      <c r="I28" s="81">
        <v>144757220</v>
      </c>
      <c r="J28" s="155">
        <f>E28*F28*I28</f>
        <v>2895144400</v>
      </c>
    </row>
    <row r="29" spans="1:10">
      <c r="A29" s="205" t="s">
        <v>105</v>
      </c>
      <c r="B29" s="205"/>
      <c r="C29" s="205"/>
      <c r="D29" s="205"/>
      <c r="E29" s="205"/>
      <c r="F29" s="205"/>
      <c r="G29" s="144"/>
      <c r="H29" s="144"/>
      <c r="I29" s="144">
        <v>0</v>
      </c>
      <c r="J29" s="144">
        <f>SUM(J24:J28)</f>
        <v>2984750546.6666665</v>
      </c>
    </row>
    <row r="30" spans="1:10" ht="151.15">
      <c r="A30" s="206" t="s">
        <v>106</v>
      </c>
      <c r="B30" s="77">
        <v>5.0999999999999996</v>
      </c>
      <c r="C30" s="139" t="s">
        <v>173</v>
      </c>
      <c r="D30" s="86" t="s">
        <v>187</v>
      </c>
      <c r="E30" s="77">
        <v>120</v>
      </c>
      <c r="F30" s="77"/>
      <c r="G30" s="155" t="e">
        <f>MIN(#REF!)</f>
        <v>#REF!</v>
      </c>
      <c r="H30" s="155" t="e">
        <f>MAX(#REF!)</f>
        <v>#REF!</v>
      </c>
      <c r="I30" s="81">
        <v>475281.33333333331</v>
      </c>
      <c r="J30" s="155">
        <f>E30*I30</f>
        <v>57033760</v>
      </c>
    </row>
    <row r="31" spans="1:10" ht="84">
      <c r="A31" s="206"/>
      <c r="B31" s="77">
        <v>5.2</v>
      </c>
      <c r="C31" s="139" t="s">
        <v>175</v>
      </c>
      <c r="D31" s="86" t="s">
        <v>188</v>
      </c>
      <c r="E31" s="77">
        <v>120</v>
      </c>
      <c r="F31" s="77"/>
      <c r="G31" s="155" t="e">
        <f>MIN(#REF!)</f>
        <v>#REF!</v>
      </c>
      <c r="H31" s="155" t="e">
        <f>MAX(#REF!)</f>
        <v>#REF!</v>
      </c>
      <c r="I31" s="81">
        <v>105000</v>
      </c>
      <c r="J31" s="155">
        <f>E31*I31</f>
        <v>12600000</v>
      </c>
    </row>
    <row r="32" spans="1:10">
      <c r="A32" s="205" t="s">
        <v>110</v>
      </c>
      <c r="B32" s="205"/>
      <c r="C32" s="205"/>
      <c r="D32" s="205"/>
      <c r="E32" s="205"/>
      <c r="F32" s="205"/>
      <c r="G32" s="144"/>
      <c r="H32" s="144"/>
      <c r="I32" s="144">
        <v>0</v>
      </c>
      <c r="J32" s="144">
        <f>SUM(J30:J31)</f>
        <v>69633760</v>
      </c>
    </row>
    <row r="33" spans="1:10" ht="52.15" customHeight="1">
      <c r="A33" s="206" t="s">
        <v>177</v>
      </c>
      <c r="B33" s="77">
        <v>6.1</v>
      </c>
      <c r="C33" s="86" t="s">
        <v>178</v>
      </c>
      <c r="D33" s="86" t="s">
        <v>179</v>
      </c>
      <c r="E33" s="77">
        <v>4</v>
      </c>
      <c r="F33" s="77">
        <v>1.5</v>
      </c>
      <c r="G33" s="155" t="e">
        <f>MIN(#REF!)</f>
        <v>#REF!</v>
      </c>
      <c r="H33" s="155" t="e">
        <f>MAX(#REF!)</f>
        <v>#REF!</v>
      </c>
      <c r="I33" s="81">
        <v>475281.33333333331</v>
      </c>
      <c r="J33" s="155">
        <f>E33*F33*I33</f>
        <v>2851688</v>
      </c>
    </row>
    <row r="34" spans="1:10" ht="52.15" customHeight="1">
      <c r="A34" s="206"/>
      <c r="B34" s="77">
        <v>6.2</v>
      </c>
      <c r="C34" s="86" t="s">
        <v>189</v>
      </c>
      <c r="D34" s="86" t="s">
        <v>181</v>
      </c>
      <c r="E34" s="77">
        <v>4</v>
      </c>
      <c r="F34" s="77">
        <v>1</v>
      </c>
      <c r="G34" s="155" t="e">
        <f>MIN(#REF!)</f>
        <v>#REF!</v>
      </c>
      <c r="H34" s="155" t="e">
        <f>MAX(#REF!)</f>
        <v>#REF!</v>
      </c>
      <c r="I34" s="81">
        <v>1100000</v>
      </c>
      <c r="J34" s="155">
        <f>E34*F34*I34</f>
        <v>4400000</v>
      </c>
    </row>
    <row r="35" spans="1:10">
      <c r="A35" s="205" t="s">
        <v>115</v>
      </c>
      <c r="B35" s="205"/>
      <c r="C35" s="205"/>
      <c r="D35" s="205"/>
      <c r="E35" s="205"/>
      <c r="F35" s="205"/>
      <c r="G35" s="144"/>
      <c r="H35" s="144"/>
      <c r="I35" s="144">
        <v>0</v>
      </c>
      <c r="J35" s="144">
        <f>SUM(J33:J34)</f>
        <v>7251688</v>
      </c>
    </row>
    <row r="36" spans="1:10" ht="17.45" thickBot="1">
      <c r="A36" s="91"/>
      <c r="B36" s="91"/>
      <c r="C36" s="91"/>
      <c r="D36" s="91"/>
      <c r="E36" s="91"/>
      <c r="F36" s="91"/>
      <c r="G36" s="92"/>
      <c r="H36" s="92"/>
      <c r="I36" s="92">
        <v>0</v>
      </c>
      <c r="J36" s="92">
        <f>E36*F36*I36</f>
        <v>0</v>
      </c>
    </row>
    <row r="37" spans="1:10">
      <c r="B37" s="186" t="s">
        <v>116</v>
      </c>
      <c r="C37" s="187"/>
      <c r="D37" s="187"/>
      <c r="E37" s="187"/>
      <c r="F37" s="187"/>
      <c r="G37" s="161"/>
      <c r="H37" s="161"/>
      <c r="I37" s="161">
        <v>0</v>
      </c>
      <c r="J37" s="115">
        <f>SUM(J35,J32,J29,J23,J15,J12)</f>
        <v>4985217381.333333</v>
      </c>
    </row>
    <row r="38" spans="1:10">
      <c r="B38" s="117">
        <v>3</v>
      </c>
      <c r="C38" s="93" t="s">
        <v>117</v>
      </c>
      <c r="D38" s="94"/>
      <c r="E38" s="95" t="s">
        <v>118</v>
      </c>
      <c r="F38" s="95"/>
      <c r="G38" s="96"/>
      <c r="H38" s="96"/>
      <c r="I38" s="96">
        <v>0</v>
      </c>
      <c r="J38" s="96"/>
    </row>
    <row r="39" spans="1:10" ht="67.150000000000006">
      <c r="B39" s="119">
        <v>3.1</v>
      </c>
      <c r="C39" s="97" t="s">
        <v>119</v>
      </c>
      <c r="D39" s="78" t="s">
        <v>120</v>
      </c>
      <c r="F39" s="77" t="s">
        <v>121</v>
      </c>
      <c r="G39" s="98" t="e">
        <f>MIN(#REF!)</f>
        <v>#REF!</v>
      </c>
      <c r="H39" s="98" t="e">
        <f>MAX(#REF!)</f>
        <v>#REF!</v>
      </c>
      <c r="I39" s="98">
        <v>0.15000000000000002</v>
      </c>
      <c r="J39" s="172">
        <f>J37*I39</f>
        <v>747782607.20000005</v>
      </c>
    </row>
    <row r="40" spans="1:10" ht="38.450000000000003" customHeight="1">
      <c r="B40" s="209" t="s">
        <v>182</v>
      </c>
      <c r="C40" s="210"/>
      <c r="D40" s="210"/>
      <c r="E40" s="210"/>
      <c r="F40" s="211"/>
      <c r="G40" s="147"/>
      <c r="H40" s="147"/>
      <c r="I40" s="147">
        <v>0</v>
      </c>
      <c r="J40" s="147">
        <f>J37+J39</f>
        <v>5732999988.5333328</v>
      </c>
    </row>
    <row r="41" spans="1:10" ht="17.45" thickBot="1">
      <c r="C41" s="122" t="s">
        <v>190</v>
      </c>
      <c r="I41" s="98">
        <v>0.02</v>
      </c>
      <c r="J41" s="172">
        <f>5850000000*2%</f>
        <v>117000000</v>
      </c>
    </row>
    <row r="42" spans="1:10" ht="51" thickBot="1">
      <c r="C42" s="122" t="s">
        <v>191</v>
      </c>
      <c r="J42" s="172">
        <f>J40+J41</f>
        <v>5849999988.5333328</v>
      </c>
    </row>
    <row r="43" spans="1:10">
      <c r="J43" s="173"/>
    </row>
    <row r="45" spans="1:10">
      <c r="J45" s="82"/>
    </row>
  </sheetData>
  <autoFilter ref="A5:I5" xr:uid="{B8626518-C0C5-455A-86F1-AEA0A9ABA18C}"/>
  <mergeCells count="17">
    <mergeCell ref="A30:A31"/>
    <mergeCell ref="B1:F1"/>
    <mergeCell ref="B2:C3"/>
    <mergeCell ref="D2:F3"/>
    <mergeCell ref="A6:A11"/>
    <mergeCell ref="A12:F12"/>
    <mergeCell ref="A13:A14"/>
    <mergeCell ref="A15:F15"/>
    <mergeCell ref="A16:A22"/>
    <mergeCell ref="A23:F23"/>
    <mergeCell ref="A24:A28"/>
    <mergeCell ref="A29:F29"/>
    <mergeCell ref="A32:F32"/>
    <mergeCell ref="A33:A34"/>
    <mergeCell ref="A35:F35"/>
    <mergeCell ref="B37:F37"/>
    <mergeCell ref="B40:F40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F9ED8-4146-4187-B60B-36D8DB344CF5}">
  <dimension ref="A1:L45"/>
  <sheetViews>
    <sheetView zoomScale="90" zoomScaleNormal="90" workbookViewId="0">
      <pane xSplit="6" ySplit="5" topLeftCell="G14" activePane="bottomRight" state="frozen"/>
      <selection pane="bottomRight" activeCell="J17" sqref="J17"/>
      <selection pane="bottomLeft" activeCell="A6" sqref="A6"/>
      <selection pane="topRight" activeCell="G1" sqref="G1"/>
    </sheetView>
  </sheetViews>
  <sheetFormatPr defaultColWidth="11.42578125" defaultRowHeight="16.899999999999999"/>
  <cols>
    <col min="1" max="1" width="20.7109375" style="72" customWidth="1"/>
    <col min="2" max="2" width="12.7109375" style="72" customWidth="1"/>
    <col min="3" max="3" width="25.85546875" style="72" customWidth="1"/>
    <col min="4" max="4" width="47.85546875" style="72" customWidth="1"/>
    <col min="5" max="5" width="19.42578125" style="72" customWidth="1"/>
    <col min="6" max="6" width="9.42578125" style="72" customWidth="1"/>
    <col min="7" max="8" width="18" style="72" hidden="1" customWidth="1"/>
    <col min="9" max="10" width="18" style="72" customWidth="1"/>
    <col min="11" max="11" width="13.5703125" style="72" bestFit="1" customWidth="1"/>
    <col min="12" max="12" width="15.28515625" style="72" bestFit="1" customWidth="1"/>
    <col min="13" max="16384" width="11.42578125" style="72"/>
  </cols>
  <sheetData>
    <row r="1" spans="1:12" ht="47.25" customHeight="1">
      <c r="B1" s="194" t="s">
        <v>50</v>
      </c>
      <c r="C1" s="194"/>
      <c r="D1" s="194"/>
      <c r="E1" s="194"/>
      <c r="F1" s="194"/>
    </row>
    <row r="2" spans="1:12">
      <c r="B2" s="195" t="s">
        <v>51</v>
      </c>
      <c r="C2" s="195"/>
      <c r="D2" s="196"/>
      <c r="E2" s="197"/>
      <c r="F2" s="197"/>
    </row>
    <row r="3" spans="1:12">
      <c r="B3" s="195"/>
      <c r="C3" s="195"/>
      <c r="D3" s="199"/>
      <c r="E3" s="200"/>
      <c r="F3" s="200"/>
    </row>
    <row r="4" spans="1:12" ht="50.45" customHeight="1">
      <c r="B4" s="73"/>
      <c r="C4" s="73"/>
      <c r="D4" s="74"/>
      <c r="E4" s="75"/>
      <c r="F4" s="75"/>
      <c r="G4" s="162"/>
      <c r="H4" s="162"/>
      <c r="I4" s="162"/>
      <c r="J4" s="162"/>
    </row>
    <row r="5" spans="1:12" ht="50.45">
      <c r="A5" s="140" t="s">
        <v>52</v>
      </c>
      <c r="B5" s="140" t="s">
        <v>53</v>
      </c>
      <c r="C5" s="141" t="s">
        <v>54</v>
      </c>
      <c r="D5" s="140" t="s">
        <v>55</v>
      </c>
      <c r="E5" s="140" t="s">
        <v>128</v>
      </c>
      <c r="F5" s="140" t="s">
        <v>57</v>
      </c>
      <c r="G5" s="164" t="s">
        <v>133</v>
      </c>
      <c r="H5" s="164" t="s">
        <v>134</v>
      </c>
      <c r="I5" s="164" t="s">
        <v>185</v>
      </c>
      <c r="J5" s="164" t="s">
        <v>186</v>
      </c>
    </row>
    <row r="6" spans="1:12" ht="151.15">
      <c r="A6" s="206" t="s">
        <v>60</v>
      </c>
      <c r="B6" s="77">
        <v>1.1000000000000001</v>
      </c>
      <c r="C6" s="78" t="s">
        <v>61</v>
      </c>
      <c r="D6" s="78" t="s">
        <v>62</v>
      </c>
      <c r="E6" s="79">
        <v>1</v>
      </c>
      <c r="F6" s="143">
        <v>7.5</v>
      </c>
      <c r="G6" s="155" t="e">
        <f>MIN(#REF!)</f>
        <v>#REF!</v>
      </c>
      <c r="H6" s="155" t="e">
        <f>MAX(#REF!)</f>
        <v>#REF!</v>
      </c>
      <c r="I6" s="81">
        <v>10295000</v>
      </c>
      <c r="J6" s="155">
        <f t="shared" ref="J6:J11" si="0">E6*F6*I6</f>
        <v>77212500</v>
      </c>
    </row>
    <row r="7" spans="1:12" ht="184.9">
      <c r="A7" s="206"/>
      <c r="B7" s="77">
        <v>1.2</v>
      </c>
      <c r="C7" s="78" t="s">
        <v>63</v>
      </c>
      <c r="D7" s="78" t="s">
        <v>64</v>
      </c>
      <c r="E7" s="79">
        <v>1</v>
      </c>
      <c r="F7" s="143">
        <v>7.5</v>
      </c>
      <c r="G7" s="155" t="e">
        <f>MIN(#REF!)</f>
        <v>#REF!</v>
      </c>
      <c r="H7" s="155" t="e">
        <f>MAX(#REF!)</f>
        <v>#REF!</v>
      </c>
      <c r="I7" s="81">
        <v>8295000</v>
      </c>
      <c r="J7" s="155">
        <f>E7*F7*I7</f>
        <v>62212500</v>
      </c>
    </row>
    <row r="8" spans="1:12" ht="117.6">
      <c r="A8" s="206"/>
      <c r="B8" s="79">
        <v>1.3</v>
      </c>
      <c r="C8" s="78" t="s">
        <v>65</v>
      </c>
      <c r="D8" s="78" t="s">
        <v>66</v>
      </c>
      <c r="E8" s="79">
        <v>10</v>
      </c>
      <c r="F8" s="143">
        <v>7</v>
      </c>
      <c r="G8" s="155" t="e">
        <f>MIN(#REF!)</f>
        <v>#REF!</v>
      </c>
      <c r="H8" s="155" t="e">
        <f>MAX(#REF!)</f>
        <v>#REF!</v>
      </c>
      <c r="I8" s="81">
        <v>5459600</v>
      </c>
      <c r="J8" s="155">
        <f t="shared" si="0"/>
        <v>382172000</v>
      </c>
    </row>
    <row r="9" spans="1:12" ht="67.150000000000006">
      <c r="A9" s="206"/>
      <c r="B9" s="77">
        <v>1.4</v>
      </c>
      <c r="C9" s="86" t="s">
        <v>138</v>
      </c>
      <c r="D9" s="78" t="s">
        <v>139</v>
      </c>
      <c r="E9" s="79">
        <v>5</v>
      </c>
      <c r="F9" s="143">
        <v>7</v>
      </c>
      <c r="G9" s="155" t="e">
        <f>MIN(#REF!)</f>
        <v>#REF!</v>
      </c>
      <c r="H9" s="155" t="e">
        <f>MAX(#REF!)</f>
        <v>#REF!</v>
      </c>
      <c r="I9" s="81">
        <v>5459600</v>
      </c>
      <c r="J9" s="155">
        <f t="shared" si="0"/>
        <v>191086000</v>
      </c>
    </row>
    <row r="10" spans="1:12" ht="50.45">
      <c r="A10" s="206"/>
      <c r="B10" s="77">
        <v>1.5</v>
      </c>
      <c r="C10" s="86" t="s">
        <v>69</v>
      </c>
      <c r="D10" s="78" t="s">
        <v>140</v>
      </c>
      <c r="E10" s="79">
        <v>5</v>
      </c>
      <c r="F10" s="143">
        <v>7</v>
      </c>
      <c r="G10" s="155" t="e">
        <f>MIN(#REF!)</f>
        <v>#REF!</v>
      </c>
      <c r="H10" s="155" t="e">
        <f>MAX(#REF!)</f>
        <v>#REF!</v>
      </c>
      <c r="I10" s="81">
        <v>5459600</v>
      </c>
      <c r="J10" s="155">
        <f t="shared" si="0"/>
        <v>191086000</v>
      </c>
    </row>
    <row r="11" spans="1:12" ht="46.5" customHeight="1">
      <c r="A11" s="206"/>
      <c r="B11" s="77">
        <v>1.6</v>
      </c>
      <c r="C11" s="86" t="s">
        <v>75</v>
      </c>
      <c r="D11" s="78" t="s">
        <v>141</v>
      </c>
      <c r="E11" s="79">
        <v>10</v>
      </c>
      <c r="F11" s="143">
        <v>7</v>
      </c>
      <c r="G11" s="155" t="e">
        <f>MIN(#REF!)</f>
        <v>#REF!</v>
      </c>
      <c r="H11" s="155" t="e">
        <f>MAX(#REF!)</f>
        <v>#REF!</v>
      </c>
      <c r="I11" s="81">
        <v>5459600</v>
      </c>
      <c r="J11" s="155">
        <f t="shared" si="0"/>
        <v>382172000</v>
      </c>
    </row>
    <row r="12" spans="1:12">
      <c r="A12" s="205" t="s">
        <v>77</v>
      </c>
      <c r="B12" s="205"/>
      <c r="C12" s="205"/>
      <c r="D12" s="205"/>
      <c r="E12" s="205"/>
      <c r="F12" s="205"/>
      <c r="G12" s="144"/>
      <c r="H12" s="144"/>
      <c r="I12" s="144">
        <v>0</v>
      </c>
      <c r="J12" s="144">
        <f>SUM(J6:J11)</f>
        <v>1285941000</v>
      </c>
    </row>
    <row r="13" spans="1:12" ht="100.9">
      <c r="A13" s="206" t="s">
        <v>78</v>
      </c>
      <c r="B13" s="77" t="s">
        <v>79</v>
      </c>
      <c r="C13" s="86" t="s">
        <v>142</v>
      </c>
      <c r="D13" s="137" t="s">
        <v>143</v>
      </c>
      <c r="E13" s="77">
        <v>5</v>
      </c>
      <c r="F13" s="77">
        <v>20</v>
      </c>
      <c r="G13" s="155" t="e">
        <f>MIN(#REF!)</f>
        <v>#REF!</v>
      </c>
      <c r="H13" s="155" t="e">
        <f>MAX(#REF!)</f>
        <v>#REF!</v>
      </c>
      <c r="I13" s="81">
        <v>2700000</v>
      </c>
      <c r="J13" s="155">
        <f>E13*F13*I13</f>
        <v>270000000</v>
      </c>
    </row>
    <row r="14" spans="1:12" ht="33.6">
      <c r="A14" s="206"/>
      <c r="B14" s="77" t="s">
        <v>82</v>
      </c>
      <c r="C14" s="86" t="s">
        <v>144</v>
      </c>
      <c r="D14" s="137" t="s">
        <v>145</v>
      </c>
      <c r="E14" s="77">
        <v>100</v>
      </c>
      <c r="F14" s="77"/>
      <c r="G14" s="155" t="e">
        <f>MIN(#REF!)</f>
        <v>#REF!</v>
      </c>
      <c r="H14" s="155" t="e">
        <f>MAX(#REF!)</f>
        <v>#REF!</v>
      </c>
      <c r="I14" s="81">
        <v>105000</v>
      </c>
      <c r="J14" s="155">
        <f>E14*I14</f>
        <v>10500000</v>
      </c>
      <c r="L14" s="72">
        <f>40*20</f>
        <v>800</v>
      </c>
    </row>
    <row r="15" spans="1:12">
      <c r="A15" s="205" t="s">
        <v>91</v>
      </c>
      <c r="B15" s="205"/>
      <c r="C15" s="205"/>
      <c r="D15" s="205"/>
      <c r="E15" s="205"/>
      <c r="F15" s="205"/>
      <c r="G15" s="144"/>
      <c r="H15" s="144"/>
      <c r="I15" s="144">
        <v>0</v>
      </c>
      <c r="J15" s="144">
        <f>SUM(J13:J14)</f>
        <v>280500000</v>
      </c>
    </row>
    <row r="16" spans="1:12" ht="63" customHeight="1">
      <c r="A16" s="206" t="s">
        <v>92</v>
      </c>
      <c r="B16" s="79">
        <v>3.1</v>
      </c>
      <c r="C16" s="174" t="s">
        <v>147</v>
      </c>
      <c r="D16" s="174" t="s">
        <v>148</v>
      </c>
      <c r="E16" s="77">
        <v>12</v>
      </c>
      <c r="F16" s="77">
        <v>3</v>
      </c>
      <c r="G16" s="155" t="e">
        <f>MIN(#REF!)</f>
        <v>#REF!</v>
      </c>
      <c r="H16" s="155" t="e">
        <f>MAX(#REF!)</f>
        <v>#REF!</v>
      </c>
      <c r="I16" s="81">
        <v>899130</v>
      </c>
      <c r="J16" s="155">
        <f>E16*F16*I16</f>
        <v>32368680</v>
      </c>
    </row>
    <row r="17" spans="1:10" ht="181.9" customHeight="1">
      <c r="A17" s="206"/>
      <c r="B17" s="77">
        <v>3.2</v>
      </c>
      <c r="C17" s="86" t="s">
        <v>95</v>
      </c>
      <c r="D17" s="174" t="s">
        <v>149</v>
      </c>
      <c r="E17" s="77">
        <v>100</v>
      </c>
      <c r="F17" s="77">
        <v>60</v>
      </c>
      <c r="G17" s="155" t="e">
        <f>MIN(#REF!)</f>
        <v>#REF!</v>
      </c>
      <c r="H17" s="155" t="e">
        <f>MAX(#REF!)</f>
        <v>#REF!</v>
      </c>
      <c r="I17" s="81">
        <v>9720</v>
      </c>
      <c r="J17" s="155">
        <f>E17*F17*I17</f>
        <v>58320000</v>
      </c>
    </row>
    <row r="18" spans="1:10" ht="96.95" customHeight="1">
      <c r="A18" s="206"/>
      <c r="B18" s="77">
        <v>3.3</v>
      </c>
      <c r="C18" s="86" t="s">
        <v>151</v>
      </c>
      <c r="D18" s="174" t="s">
        <v>152</v>
      </c>
      <c r="E18" s="77">
        <v>80</v>
      </c>
      <c r="F18" s="77"/>
      <c r="G18" s="155" t="e">
        <f>MIN(#REF!)</f>
        <v>#REF!</v>
      </c>
      <c r="H18" s="155" t="e">
        <f>MAX(#REF!)</f>
        <v>#REF!</v>
      </c>
      <c r="I18" s="81">
        <v>153333.33333333334</v>
      </c>
      <c r="J18" s="155">
        <f>E18*I18</f>
        <v>12266666.666666668</v>
      </c>
    </row>
    <row r="19" spans="1:10" ht="99.95" customHeight="1">
      <c r="A19" s="206"/>
      <c r="B19" s="77">
        <v>3.4</v>
      </c>
      <c r="C19" s="86" t="s">
        <v>154</v>
      </c>
      <c r="D19" s="174" t="s">
        <v>155</v>
      </c>
      <c r="E19" s="77">
        <v>24</v>
      </c>
      <c r="F19" s="77">
        <v>20</v>
      </c>
      <c r="G19" s="155" t="e">
        <f>MIN(#REF!)</f>
        <v>#REF!</v>
      </c>
      <c r="H19" s="155" t="e">
        <f>MAX(#REF!)</f>
        <v>#REF!</v>
      </c>
      <c r="I19" s="81">
        <v>475281.33333333331</v>
      </c>
      <c r="J19" s="155">
        <f>E19*F19*I19</f>
        <v>228135040</v>
      </c>
    </row>
    <row r="20" spans="1:10" ht="99.95" customHeight="1">
      <c r="A20" s="206"/>
      <c r="B20" s="77">
        <v>3.5</v>
      </c>
      <c r="C20" s="86" t="s">
        <v>156</v>
      </c>
      <c r="D20" s="174" t="s">
        <v>157</v>
      </c>
      <c r="E20" s="77">
        <v>60</v>
      </c>
      <c r="F20" s="77">
        <v>2</v>
      </c>
      <c r="G20" s="155" t="e">
        <f>MIN(#REF!)</f>
        <v>#REF!</v>
      </c>
      <c r="H20" s="155" t="e">
        <f>MAX(#REF!)</f>
        <v>#REF!</v>
      </c>
      <c r="I20" s="81">
        <v>105000</v>
      </c>
      <c r="J20" s="155">
        <f>E20*F20*I20</f>
        <v>12600000</v>
      </c>
    </row>
    <row r="21" spans="1:10" ht="99.95" customHeight="1">
      <c r="A21" s="206"/>
      <c r="B21" s="77">
        <v>3.6</v>
      </c>
      <c r="C21" s="86" t="s">
        <v>158</v>
      </c>
      <c r="D21" s="174" t="s">
        <v>159</v>
      </c>
      <c r="E21" s="77">
        <v>1400</v>
      </c>
      <c r="F21" s="145"/>
      <c r="G21" s="155" t="e">
        <f>MIN(#REF!)</f>
        <v>#REF!</v>
      </c>
      <c r="H21" s="155" t="e">
        <f>MAX(#REF!)</f>
        <v>#REF!</v>
      </c>
      <c r="I21" s="81">
        <v>7500</v>
      </c>
      <c r="J21" s="155">
        <f>E21*I21</f>
        <v>10500000</v>
      </c>
    </row>
    <row r="22" spans="1:10" ht="184.15" customHeight="1">
      <c r="A22" s="206"/>
      <c r="B22" s="77">
        <v>3.7</v>
      </c>
      <c r="C22" s="86" t="s">
        <v>160</v>
      </c>
      <c r="D22" s="174" t="s">
        <v>161</v>
      </c>
      <c r="E22" s="77">
        <v>1</v>
      </c>
      <c r="F22" s="77">
        <v>20</v>
      </c>
      <c r="G22" s="155" t="e">
        <f>MIN(#REF!)</f>
        <v>#REF!</v>
      </c>
      <c r="H22" s="155" t="e">
        <f>MAX(#REF!)</f>
        <v>#REF!</v>
      </c>
      <c r="I22" s="81">
        <v>147500</v>
      </c>
      <c r="J22" s="155">
        <f>E22*F22*I22</f>
        <v>2950000</v>
      </c>
    </row>
    <row r="23" spans="1:10">
      <c r="A23" s="205" t="s">
        <v>97</v>
      </c>
      <c r="B23" s="205"/>
      <c r="C23" s="205"/>
      <c r="D23" s="205"/>
      <c r="E23" s="205"/>
      <c r="F23" s="205"/>
      <c r="G23" s="144"/>
      <c r="H23" s="144"/>
      <c r="I23" s="144">
        <v>0</v>
      </c>
      <c r="J23" s="144">
        <f>SUM(J16:J22)</f>
        <v>357140386.66666669</v>
      </c>
    </row>
    <row r="24" spans="1:10" ht="67.150000000000006">
      <c r="A24" s="206" t="s">
        <v>98</v>
      </c>
      <c r="B24" s="77">
        <v>4.0999999999999996</v>
      </c>
      <c r="C24" s="86" t="s">
        <v>100</v>
      </c>
      <c r="D24" s="86" t="s">
        <v>163</v>
      </c>
      <c r="E24" s="77">
        <v>10</v>
      </c>
      <c r="F24" s="77">
        <v>20</v>
      </c>
      <c r="G24" s="155" t="e">
        <f>MIN(#REF!)</f>
        <v>#REF!</v>
      </c>
      <c r="H24" s="155" t="e">
        <f>MAX(#REF!)</f>
        <v>#REF!</v>
      </c>
      <c r="I24" s="81">
        <v>153333.33333333334</v>
      </c>
      <c r="J24" s="155">
        <f>E24*F24*I24</f>
        <v>30666666.666666668</v>
      </c>
    </row>
    <row r="25" spans="1:10" ht="36.6" customHeight="1">
      <c r="A25" s="206"/>
      <c r="B25" s="77">
        <v>4.2</v>
      </c>
      <c r="C25" s="86" t="s">
        <v>164</v>
      </c>
      <c r="D25" s="86" t="s">
        <v>165</v>
      </c>
      <c r="E25" s="77">
        <v>60</v>
      </c>
      <c r="F25" s="77">
        <v>1</v>
      </c>
      <c r="G25" s="155" t="e">
        <f>MIN(#REF!)</f>
        <v>#REF!</v>
      </c>
      <c r="H25" s="155" t="e">
        <f>MAX(#REF!)</f>
        <v>#REF!</v>
      </c>
      <c r="I25" s="81">
        <v>475281.33333333331</v>
      </c>
      <c r="J25" s="155">
        <f>E25*F25*I25</f>
        <v>28516880</v>
      </c>
    </row>
    <row r="26" spans="1:10" ht="33.6">
      <c r="A26" s="206"/>
      <c r="B26" s="77">
        <v>4.3</v>
      </c>
      <c r="C26" s="86" t="s">
        <v>167</v>
      </c>
      <c r="D26" s="86" t="s">
        <v>168</v>
      </c>
      <c r="E26" s="77">
        <v>60</v>
      </c>
      <c r="F26" s="146">
        <v>1</v>
      </c>
      <c r="G26" s="155" t="e">
        <f>MIN(#REF!)</f>
        <v>#REF!</v>
      </c>
      <c r="H26" s="155" t="e">
        <f>MAX(#REF!)</f>
        <v>#REF!</v>
      </c>
      <c r="I26" s="81">
        <v>105000</v>
      </c>
      <c r="J26" s="155">
        <f>E26*F26*I26</f>
        <v>6300000</v>
      </c>
    </row>
    <row r="27" spans="1:10" ht="50.45">
      <c r="A27" s="206"/>
      <c r="B27" s="77">
        <v>4.4000000000000004</v>
      </c>
      <c r="C27" s="86" t="s">
        <v>170</v>
      </c>
      <c r="D27" s="86" t="s">
        <v>171</v>
      </c>
      <c r="E27" s="77">
        <v>1</v>
      </c>
      <c r="F27" s="77">
        <v>20</v>
      </c>
      <c r="G27" s="155" t="e">
        <f>MIN(#REF!)</f>
        <v>#REF!</v>
      </c>
      <c r="H27" s="155" t="e">
        <f>MAX(#REF!)</f>
        <v>#REF!</v>
      </c>
      <c r="I27" s="81">
        <v>1206130</v>
      </c>
      <c r="J27" s="155">
        <f>E27*F27*I27</f>
        <v>24122600</v>
      </c>
    </row>
    <row r="28" spans="1:10" ht="50.45">
      <c r="A28" s="206"/>
      <c r="B28" s="77">
        <v>4.5</v>
      </c>
      <c r="C28" s="86" t="s">
        <v>103</v>
      </c>
      <c r="D28" s="86" t="s">
        <v>104</v>
      </c>
      <c r="E28" s="77">
        <v>1</v>
      </c>
      <c r="F28" s="77">
        <v>20</v>
      </c>
      <c r="G28" s="155" t="e">
        <f>MIN(#REF!)</f>
        <v>#REF!</v>
      </c>
      <c r="H28" s="155" t="e">
        <f>MAX(#REF!)</f>
        <v>#REF!</v>
      </c>
      <c r="I28" s="81">
        <v>50000000</v>
      </c>
      <c r="J28" s="155">
        <f>E28*F28*I28</f>
        <v>1000000000</v>
      </c>
    </row>
    <row r="29" spans="1:10">
      <c r="A29" s="205" t="s">
        <v>105</v>
      </c>
      <c r="B29" s="205"/>
      <c r="C29" s="205"/>
      <c r="D29" s="205"/>
      <c r="E29" s="205"/>
      <c r="F29" s="205"/>
      <c r="G29" s="144"/>
      <c r="H29" s="144"/>
      <c r="I29" s="144">
        <v>0</v>
      </c>
      <c r="J29" s="144">
        <f>SUM(J24:J28)</f>
        <v>1089606146.6666667</v>
      </c>
    </row>
    <row r="30" spans="1:10" ht="151.15">
      <c r="A30" s="206" t="s">
        <v>106</v>
      </c>
      <c r="B30" s="77">
        <v>5.0999999999999996</v>
      </c>
      <c r="C30" s="139" t="s">
        <v>173</v>
      </c>
      <c r="D30" s="86" t="s">
        <v>187</v>
      </c>
      <c r="E30" s="77">
        <v>120</v>
      </c>
      <c r="F30" s="77"/>
      <c r="G30" s="155" t="e">
        <f>MIN(#REF!)</f>
        <v>#REF!</v>
      </c>
      <c r="H30" s="155" t="e">
        <f>MAX(#REF!)</f>
        <v>#REF!</v>
      </c>
      <c r="I30" s="81">
        <v>475281.33333333331</v>
      </c>
      <c r="J30" s="155">
        <f>E30*I30</f>
        <v>57033760</v>
      </c>
    </row>
    <row r="31" spans="1:10" ht="84">
      <c r="A31" s="206"/>
      <c r="B31" s="77">
        <v>5.2</v>
      </c>
      <c r="C31" s="139" t="s">
        <v>175</v>
      </c>
      <c r="D31" s="86" t="s">
        <v>188</v>
      </c>
      <c r="E31" s="77">
        <v>120</v>
      </c>
      <c r="F31" s="77"/>
      <c r="G31" s="155" t="e">
        <f>MIN(#REF!)</f>
        <v>#REF!</v>
      </c>
      <c r="H31" s="155" t="e">
        <f>MAX(#REF!)</f>
        <v>#REF!</v>
      </c>
      <c r="I31" s="81">
        <v>105000</v>
      </c>
      <c r="J31" s="155">
        <f>E31*I31</f>
        <v>12600000</v>
      </c>
    </row>
    <row r="32" spans="1:10">
      <c r="A32" s="205" t="s">
        <v>110</v>
      </c>
      <c r="B32" s="205"/>
      <c r="C32" s="205"/>
      <c r="D32" s="205"/>
      <c r="E32" s="205"/>
      <c r="F32" s="205"/>
      <c r="G32" s="144"/>
      <c r="H32" s="144"/>
      <c r="I32" s="144">
        <v>0</v>
      </c>
      <c r="J32" s="144">
        <f>SUM(J30:J31)</f>
        <v>69633760</v>
      </c>
    </row>
    <row r="33" spans="1:12" ht="52.15" customHeight="1">
      <c r="A33" s="206" t="s">
        <v>177</v>
      </c>
      <c r="B33" s="77">
        <v>6.1</v>
      </c>
      <c r="C33" s="86" t="s">
        <v>178</v>
      </c>
      <c r="D33" s="86" t="s">
        <v>179</v>
      </c>
      <c r="E33" s="77">
        <v>4</v>
      </c>
      <c r="F33" s="77">
        <v>1.5</v>
      </c>
      <c r="G33" s="155" t="e">
        <f>MIN(#REF!)</f>
        <v>#REF!</v>
      </c>
      <c r="H33" s="155" t="e">
        <f>MAX(#REF!)</f>
        <v>#REF!</v>
      </c>
      <c r="I33" s="81">
        <v>475281.33333333331</v>
      </c>
      <c r="J33" s="155">
        <f>E33*F33*I33</f>
        <v>2851688</v>
      </c>
    </row>
    <row r="34" spans="1:12" ht="52.15" customHeight="1">
      <c r="A34" s="206"/>
      <c r="B34" s="77">
        <v>6.2</v>
      </c>
      <c r="C34" s="86" t="s">
        <v>189</v>
      </c>
      <c r="D34" s="86" t="s">
        <v>181</v>
      </c>
      <c r="E34" s="77">
        <v>4</v>
      </c>
      <c r="F34" s="77">
        <v>1</v>
      </c>
      <c r="G34" s="155" t="e">
        <f>MIN(#REF!)</f>
        <v>#REF!</v>
      </c>
      <c r="H34" s="155" t="e">
        <f>MAX(#REF!)</f>
        <v>#REF!</v>
      </c>
      <c r="I34" s="81">
        <v>1100000</v>
      </c>
      <c r="J34" s="155">
        <f>E34*F34*I34</f>
        <v>4400000</v>
      </c>
    </row>
    <row r="35" spans="1:12">
      <c r="A35" s="205" t="s">
        <v>115</v>
      </c>
      <c r="B35" s="205"/>
      <c r="C35" s="205"/>
      <c r="D35" s="205"/>
      <c r="E35" s="205"/>
      <c r="F35" s="205"/>
      <c r="G35" s="144"/>
      <c r="H35" s="144"/>
      <c r="I35" s="144">
        <v>0</v>
      </c>
      <c r="J35" s="144">
        <f>SUM(J33:J34)</f>
        <v>7251688</v>
      </c>
    </row>
    <row r="36" spans="1:12" ht="17.45" thickBot="1">
      <c r="A36" s="91"/>
      <c r="B36" s="91"/>
      <c r="C36" s="91"/>
      <c r="D36" s="91"/>
      <c r="E36" s="91"/>
      <c r="F36" s="91"/>
      <c r="G36" s="92"/>
      <c r="H36" s="92"/>
      <c r="I36" s="92">
        <v>0</v>
      </c>
      <c r="J36" s="92">
        <f>E36*F36*I36</f>
        <v>0</v>
      </c>
    </row>
    <row r="37" spans="1:12">
      <c r="B37" s="186" t="s">
        <v>116</v>
      </c>
      <c r="C37" s="187"/>
      <c r="D37" s="187"/>
      <c r="E37" s="187"/>
      <c r="F37" s="187"/>
      <c r="G37" s="161"/>
      <c r="H37" s="161"/>
      <c r="I37" s="161">
        <v>0</v>
      </c>
      <c r="J37" s="115">
        <f>SUM(J35,J32,J29,J23,J15,J12)</f>
        <v>3090072981.3333335</v>
      </c>
    </row>
    <row r="38" spans="1:12">
      <c r="B38" s="117">
        <v>3</v>
      </c>
      <c r="C38" s="93" t="s">
        <v>117</v>
      </c>
      <c r="D38" s="94"/>
      <c r="E38" s="95" t="s">
        <v>118</v>
      </c>
      <c r="F38" s="95"/>
      <c r="G38" s="96"/>
      <c r="H38" s="96"/>
      <c r="I38" s="96">
        <v>0</v>
      </c>
      <c r="J38" s="96"/>
    </row>
    <row r="39" spans="1:12" ht="67.150000000000006">
      <c r="B39" s="119">
        <v>3.1</v>
      </c>
      <c r="C39" s="97" t="s">
        <v>119</v>
      </c>
      <c r="D39" s="78" t="s">
        <v>120</v>
      </c>
      <c r="F39" s="77" t="s">
        <v>121</v>
      </c>
      <c r="G39" s="98" t="e">
        <f>MIN(#REF!)</f>
        <v>#REF!</v>
      </c>
      <c r="H39" s="98" t="e">
        <f>MAX(#REF!)</f>
        <v>#REF!</v>
      </c>
      <c r="I39" s="98">
        <v>0.15000000000000002</v>
      </c>
      <c r="J39" s="172">
        <f>J37*I39</f>
        <v>463510947.20000011</v>
      </c>
    </row>
    <row r="40" spans="1:12" ht="38.450000000000003" customHeight="1">
      <c r="B40" s="209" t="s">
        <v>182</v>
      </c>
      <c r="C40" s="210"/>
      <c r="D40" s="210"/>
      <c r="E40" s="210"/>
      <c r="F40" s="211"/>
      <c r="G40" s="147"/>
      <c r="H40" s="147"/>
      <c r="I40" s="147">
        <v>0</v>
      </c>
      <c r="J40" s="147">
        <f>J37+J39</f>
        <v>3553583928.5333338</v>
      </c>
    </row>
    <row r="41" spans="1:12" ht="17.45" thickBot="1">
      <c r="C41" s="122" t="s">
        <v>190</v>
      </c>
      <c r="I41" s="98">
        <v>0.02</v>
      </c>
      <c r="J41" s="172">
        <f>5850000000*2%</f>
        <v>117000000</v>
      </c>
    </row>
    <row r="42" spans="1:12" ht="51" thickBot="1">
      <c r="C42" s="122" t="s">
        <v>191</v>
      </c>
      <c r="J42" s="172">
        <f>J40+J41</f>
        <v>3670583928.5333338</v>
      </c>
    </row>
    <row r="43" spans="1:12" ht="17.45" thickBot="1">
      <c r="C43" s="122" t="s">
        <v>192</v>
      </c>
      <c r="J43" s="173">
        <v>5850000000</v>
      </c>
      <c r="K43" s="173">
        <f>J43*2%</f>
        <v>117000000</v>
      </c>
      <c r="L43" s="173">
        <f>J43-K43</f>
        <v>5733000000</v>
      </c>
    </row>
    <row r="44" spans="1:12" ht="34.15" thickBot="1">
      <c r="C44" s="122" t="s">
        <v>193</v>
      </c>
      <c r="J44" s="173">
        <f>L43-J40</f>
        <v>2179416071.4666662</v>
      </c>
    </row>
    <row r="45" spans="1:12">
      <c r="J45" s="82"/>
    </row>
  </sheetData>
  <autoFilter ref="A5:I5" xr:uid="{B8626518-C0C5-455A-86F1-AEA0A9ABA18C}"/>
  <mergeCells count="17">
    <mergeCell ref="A30:A31"/>
    <mergeCell ref="B1:F1"/>
    <mergeCell ref="B2:C3"/>
    <mergeCell ref="D2:F3"/>
    <mergeCell ref="A6:A11"/>
    <mergeCell ref="A12:F12"/>
    <mergeCell ref="A13:A14"/>
    <mergeCell ref="A15:F15"/>
    <mergeCell ref="A16:A22"/>
    <mergeCell ref="A23:F23"/>
    <mergeCell ref="A24:A28"/>
    <mergeCell ref="A29:F29"/>
    <mergeCell ref="A32:F32"/>
    <mergeCell ref="A33:A34"/>
    <mergeCell ref="A35:F35"/>
    <mergeCell ref="B37:F37"/>
    <mergeCell ref="B40:F40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577DC-095A-453A-812F-5016813745C9}">
  <sheetPr>
    <tabColor rgb="FF92D050"/>
  </sheetPr>
  <dimension ref="A1:L37"/>
  <sheetViews>
    <sheetView tabSelected="1" topLeftCell="I17" zoomScale="90" zoomScaleNormal="90" workbookViewId="0">
      <selection activeCell="L18" sqref="L18"/>
    </sheetView>
  </sheetViews>
  <sheetFormatPr defaultColWidth="11.42578125" defaultRowHeight="17.25"/>
  <cols>
    <col min="1" max="1" width="20.7109375" style="72" customWidth="1"/>
    <col min="2" max="2" width="12.7109375" style="72" customWidth="1"/>
    <col min="3" max="3" width="25.85546875" style="72" customWidth="1"/>
    <col min="4" max="4" width="47.85546875" style="72" customWidth="1"/>
    <col min="5" max="5" width="19.42578125" style="72" customWidth="1"/>
    <col min="6" max="6" width="9.42578125" style="72" customWidth="1"/>
    <col min="7" max="8" width="18" style="72" hidden="1" customWidth="1"/>
    <col min="9" max="10" width="18" style="72" customWidth="1"/>
    <col min="11" max="11" width="13.42578125" style="72" bestFit="1" customWidth="1"/>
    <col min="12" max="12" width="15.28515625" style="72" bestFit="1" customWidth="1"/>
    <col min="13" max="16384" width="11.42578125" style="72"/>
  </cols>
  <sheetData>
    <row r="1" spans="1:10" ht="47.25" customHeight="1">
      <c r="B1" s="212" t="s">
        <v>50</v>
      </c>
      <c r="C1" s="212"/>
      <c r="D1" s="212"/>
      <c r="E1" s="212"/>
      <c r="F1" s="212"/>
      <c r="G1" s="212"/>
      <c r="H1" s="212"/>
      <c r="I1" s="212"/>
      <c r="J1" s="212"/>
    </row>
    <row r="2" spans="1:10">
      <c r="B2" s="213" t="s">
        <v>51</v>
      </c>
      <c r="C2" s="213"/>
      <c r="D2" s="214"/>
      <c r="E2" s="214"/>
      <c r="F2" s="214"/>
      <c r="G2" s="214"/>
      <c r="H2" s="214"/>
      <c r="I2" s="214"/>
      <c r="J2" s="214"/>
    </row>
    <row r="3" spans="1:10">
      <c r="B3" s="213"/>
      <c r="C3" s="213"/>
      <c r="D3" s="214"/>
      <c r="E3" s="214"/>
      <c r="F3" s="214"/>
      <c r="G3" s="214"/>
      <c r="H3" s="214"/>
      <c r="I3" s="214"/>
      <c r="J3" s="214"/>
    </row>
    <row r="4" spans="1:10" ht="50.45" customHeight="1">
      <c r="B4" s="73"/>
      <c r="C4" s="73"/>
      <c r="D4" s="74"/>
      <c r="E4" s="75"/>
      <c r="F4" s="75"/>
      <c r="G4" s="162"/>
      <c r="H4" s="162"/>
      <c r="I4" s="162"/>
      <c r="J4" s="162"/>
    </row>
    <row r="5" spans="1:10" ht="53.25">
      <c r="A5" s="140" t="s">
        <v>52</v>
      </c>
      <c r="B5" s="140" t="s">
        <v>53</v>
      </c>
      <c r="C5" s="141" t="s">
        <v>54</v>
      </c>
      <c r="D5" s="140" t="s">
        <v>55</v>
      </c>
      <c r="E5" s="140" t="s">
        <v>128</v>
      </c>
      <c r="F5" s="140" t="s">
        <v>57</v>
      </c>
      <c r="G5" s="164" t="s">
        <v>133</v>
      </c>
      <c r="H5" s="164" t="s">
        <v>134</v>
      </c>
      <c r="I5" s="164" t="s">
        <v>185</v>
      </c>
      <c r="J5" s="164" t="s">
        <v>186</v>
      </c>
    </row>
    <row r="6" spans="1:10" ht="174" customHeight="1">
      <c r="A6" s="206" t="s">
        <v>60</v>
      </c>
      <c r="B6" s="77">
        <v>1.1000000000000001</v>
      </c>
      <c r="C6" s="78" t="s">
        <v>61</v>
      </c>
      <c r="D6" s="78" t="s">
        <v>194</v>
      </c>
      <c r="E6" s="79">
        <v>1</v>
      </c>
      <c r="F6" s="143">
        <v>7</v>
      </c>
      <c r="G6" s="155" t="e">
        <f>MIN(#REF!)</f>
        <v>#REF!</v>
      </c>
      <c r="H6" s="155" t="e">
        <f>MAX(#REF!)</f>
        <v>#REF!</v>
      </c>
      <c r="I6" s="81"/>
      <c r="J6" s="155"/>
    </row>
    <row r="7" spans="1:10" ht="201" customHeight="1">
      <c r="A7" s="206"/>
      <c r="B7" s="77">
        <v>1.2</v>
      </c>
      <c r="C7" s="78" t="s">
        <v>63</v>
      </c>
      <c r="D7" s="78" t="s">
        <v>195</v>
      </c>
      <c r="E7" s="79">
        <v>2</v>
      </c>
      <c r="F7" s="143">
        <v>7</v>
      </c>
      <c r="G7" s="155" t="e">
        <f>MIN(#REF!)</f>
        <v>#REF!</v>
      </c>
      <c r="H7" s="155" t="e">
        <f>MAX(#REF!)</f>
        <v>#REF!</v>
      </c>
      <c r="I7" s="81"/>
      <c r="J7" s="155"/>
    </row>
    <row r="8" spans="1:10" ht="159.75">
      <c r="A8" s="206"/>
      <c r="B8" s="79">
        <v>1.3</v>
      </c>
      <c r="C8" s="78" t="s">
        <v>65</v>
      </c>
      <c r="D8" s="78" t="s">
        <v>196</v>
      </c>
      <c r="E8" s="79">
        <v>10</v>
      </c>
      <c r="F8" s="143">
        <v>7</v>
      </c>
      <c r="G8" s="155" t="e">
        <f>MIN(#REF!)</f>
        <v>#REF!</v>
      </c>
      <c r="H8" s="155" t="e">
        <f>MAX(#REF!)</f>
        <v>#REF!</v>
      </c>
      <c r="I8" s="81"/>
      <c r="J8" s="155"/>
    </row>
    <row r="9" spans="1:10" ht="88.15" customHeight="1">
      <c r="A9" s="206"/>
      <c r="B9" s="77">
        <v>1.4</v>
      </c>
      <c r="C9" s="86" t="s">
        <v>138</v>
      </c>
      <c r="D9" s="175" t="s">
        <v>197</v>
      </c>
      <c r="E9" s="79">
        <v>2</v>
      </c>
      <c r="F9" s="143">
        <v>7</v>
      </c>
      <c r="G9" s="155" t="e">
        <f>MIN(#REF!)</f>
        <v>#REF!</v>
      </c>
      <c r="H9" s="155" t="e">
        <f>MAX(#REF!)</f>
        <v>#REF!</v>
      </c>
      <c r="I9" s="81"/>
      <c r="J9" s="155">
        <f t="shared" ref="J9:J11" si="0">E9*F9*I9</f>
        <v>0</v>
      </c>
    </row>
    <row r="10" spans="1:10" ht="67.900000000000006" customHeight="1">
      <c r="A10" s="206"/>
      <c r="B10" s="77">
        <v>1.5</v>
      </c>
      <c r="C10" s="86" t="s">
        <v>69</v>
      </c>
      <c r="D10" s="137" t="s">
        <v>198</v>
      </c>
      <c r="E10" s="79">
        <v>2</v>
      </c>
      <c r="F10" s="143">
        <v>7</v>
      </c>
      <c r="G10" s="155" t="e">
        <f>MIN(#REF!)</f>
        <v>#REF!</v>
      </c>
      <c r="H10" s="155" t="e">
        <f>MAX(#REF!)</f>
        <v>#REF!</v>
      </c>
      <c r="I10" s="81"/>
      <c r="J10" s="155"/>
    </row>
    <row r="11" spans="1:10" ht="81" customHeight="1">
      <c r="A11" s="206"/>
      <c r="B11" s="77">
        <v>1.6</v>
      </c>
      <c r="C11" s="86" t="s">
        <v>75</v>
      </c>
      <c r="D11" s="137" t="s">
        <v>199</v>
      </c>
      <c r="E11" s="79">
        <v>10</v>
      </c>
      <c r="F11" s="143">
        <v>7</v>
      </c>
      <c r="G11" s="155" t="e">
        <f>MIN(#REF!)</f>
        <v>#REF!</v>
      </c>
      <c r="H11" s="155" t="e">
        <f>MAX(#REF!)</f>
        <v>#REF!</v>
      </c>
      <c r="I11" s="81"/>
      <c r="J11" s="155">
        <f t="shared" si="0"/>
        <v>0</v>
      </c>
    </row>
    <row r="12" spans="1:10">
      <c r="A12" s="205" t="s">
        <v>77</v>
      </c>
      <c r="B12" s="205"/>
      <c r="C12" s="205"/>
      <c r="D12" s="205"/>
      <c r="E12" s="205"/>
      <c r="F12" s="205"/>
      <c r="G12" s="144"/>
      <c r="H12" s="144"/>
      <c r="I12" s="144">
        <v>0</v>
      </c>
      <c r="J12" s="144">
        <f>SUM(J6:J11)</f>
        <v>0</v>
      </c>
    </row>
    <row r="13" spans="1:10" ht="92.25" customHeight="1">
      <c r="A13" s="206" t="s">
        <v>78</v>
      </c>
      <c r="B13" s="77" t="s">
        <v>79</v>
      </c>
      <c r="C13" s="86" t="s">
        <v>142</v>
      </c>
      <c r="D13" s="137" t="s">
        <v>200</v>
      </c>
      <c r="E13" s="79">
        <v>1</v>
      </c>
      <c r="F13" s="77">
        <v>40</v>
      </c>
      <c r="G13" s="155" t="e">
        <f>MIN(#REF!)</f>
        <v>#REF!</v>
      </c>
      <c r="H13" s="155" t="e">
        <f>MAX(#REF!)</f>
        <v>#REF!</v>
      </c>
      <c r="I13" s="81"/>
      <c r="J13" s="155">
        <f>E13*F13*I13</f>
        <v>0</v>
      </c>
    </row>
    <row r="14" spans="1:10" ht="58.5" customHeight="1">
      <c r="A14" s="206"/>
      <c r="B14" s="77" t="s">
        <v>82</v>
      </c>
      <c r="C14" s="86" t="s">
        <v>144</v>
      </c>
      <c r="D14" s="137" t="s">
        <v>201</v>
      </c>
      <c r="E14" s="79">
        <v>800</v>
      </c>
      <c r="F14" s="77"/>
      <c r="G14" s="155" t="e">
        <f>MIN(#REF!)</f>
        <v>#REF!</v>
      </c>
      <c r="H14" s="155" t="e">
        <f>MAX(#REF!)</f>
        <v>#REF!</v>
      </c>
      <c r="I14" s="81"/>
      <c r="J14" s="155">
        <f>E14*I14</f>
        <v>0</v>
      </c>
    </row>
    <row r="15" spans="1:10">
      <c r="A15" s="205" t="s">
        <v>91</v>
      </c>
      <c r="B15" s="205"/>
      <c r="C15" s="205"/>
      <c r="D15" s="205"/>
      <c r="E15" s="205"/>
      <c r="F15" s="205"/>
      <c r="G15" s="144"/>
      <c r="H15" s="144"/>
      <c r="I15" s="144">
        <v>0</v>
      </c>
      <c r="J15" s="144">
        <f>SUM(J13:J14)</f>
        <v>0</v>
      </c>
    </row>
    <row r="16" spans="1:10" ht="90" customHeight="1">
      <c r="A16" s="206" t="s">
        <v>92</v>
      </c>
      <c r="B16" s="79">
        <v>3.1</v>
      </c>
      <c r="C16" s="174" t="s">
        <v>202</v>
      </c>
      <c r="D16" s="127" t="s">
        <v>203</v>
      </c>
      <c r="E16" s="79">
        <v>40</v>
      </c>
      <c r="F16" s="79">
        <v>2</v>
      </c>
      <c r="G16" s="155" t="e">
        <f>MIN(#REF!)</f>
        <v>#REF!</v>
      </c>
      <c r="H16" s="155" t="e">
        <f>MAX(#REF!)</f>
        <v>#REF!</v>
      </c>
      <c r="I16" s="81"/>
      <c r="J16" s="155"/>
    </row>
    <row r="17" spans="1:12" ht="196.5" customHeight="1">
      <c r="A17" s="206"/>
      <c r="B17" s="77">
        <v>3.2</v>
      </c>
      <c r="C17" s="86" t="s">
        <v>95</v>
      </c>
      <c r="D17" s="174" t="s">
        <v>204</v>
      </c>
      <c r="E17" s="146">
        <v>110</v>
      </c>
      <c r="F17" s="77">
        <v>480</v>
      </c>
      <c r="G17" s="155" t="e">
        <f>MIN(#REF!)</f>
        <v>#REF!</v>
      </c>
      <c r="H17" s="155" t="e">
        <f>MAX(#REF!)</f>
        <v>#REF!</v>
      </c>
      <c r="I17" s="81"/>
      <c r="J17" s="176">
        <f>E17*F17*I17</f>
        <v>0</v>
      </c>
    </row>
    <row r="18" spans="1:12" ht="51" customHeight="1">
      <c r="A18" s="206"/>
      <c r="B18" s="77">
        <v>3.3</v>
      </c>
      <c r="C18" s="86" t="s">
        <v>154</v>
      </c>
      <c r="D18" s="174" t="s">
        <v>205</v>
      </c>
      <c r="E18" s="77">
        <v>24</v>
      </c>
      <c r="F18" s="77">
        <v>40</v>
      </c>
      <c r="G18" s="155" t="e">
        <f>MIN(#REF!)</f>
        <v>#REF!</v>
      </c>
      <c r="H18" s="155" t="e">
        <f>MAX(#REF!)</f>
        <v>#REF!</v>
      </c>
      <c r="I18" s="81"/>
      <c r="J18" s="176"/>
      <c r="L18" s="215"/>
    </row>
    <row r="19" spans="1:12" ht="52.5" customHeight="1">
      <c r="A19" s="206"/>
      <c r="B19" s="77">
        <v>3.4</v>
      </c>
      <c r="C19" s="86" t="s">
        <v>156</v>
      </c>
      <c r="D19" s="174" t="s">
        <v>157</v>
      </c>
      <c r="E19" s="177">
        <v>120</v>
      </c>
      <c r="F19" s="77">
        <v>2</v>
      </c>
      <c r="G19" s="155" t="e">
        <f>MIN(#REF!)</f>
        <v>#REF!</v>
      </c>
      <c r="H19" s="155" t="e">
        <f>MAX(#REF!)</f>
        <v>#REF!</v>
      </c>
      <c r="I19" s="81"/>
      <c r="J19" s="155"/>
    </row>
    <row r="20" spans="1:12" ht="39" customHeight="1">
      <c r="A20" s="206"/>
      <c r="B20" s="77">
        <v>3.5</v>
      </c>
      <c r="C20" s="86" t="s">
        <v>158</v>
      </c>
      <c r="D20" s="174" t="s">
        <v>206</v>
      </c>
      <c r="E20" s="77">
        <v>3200</v>
      </c>
      <c r="F20" s="145"/>
      <c r="G20" s="155" t="e">
        <f>MIN(#REF!)</f>
        <v>#REF!</v>
      </c>
      <c r="H20" s="155" t="e">
        <f>MAX(#REF!)</f>
        <v>#REF!</v>
      </c>
      <c r="I20" s="81"/>
      <c r="J20" s="155"/>
    </row>
    <row r="21" spans="1:12" ht="168.75" customHeight="1">
      <c r="A21" s="206"/>
      <c r="B21" s="77">
        <v>3.6</v>
      </c>
      <c r="C21" s="86" t="s">
        <v>160</v>
      </c>
      <c r="D21" s="174" t="s">
        <v>207</v>
      </c>
      <c r="E21" s="77">
        <v>1</v>
      </c>
      <c r="F21" s="77">
        <v>40</v>
      </c>
      <c r="G21" s="155" t="e">
        <f>MIN(#REF!)</f>
        <v>#REF!</v>
      </c>
      <c r="H21" s="155" t="e">
        <f>MAX(#REF!)</f>
        <v>#REF!</v>
      </c>
      <c r="I21" s="81"/>
      <c r="J21" s="155"/>
    </row>
    <row r="22" spans="1:12">
      <c r="A22" s="205" t="s">
        <v>97</v>
      </c>
      <c r="B22" s="205"/>
      <c r="C22" s="205"/>
      <c r="D22" s="205"/>
      <c r="E22" s="205"/>
      <c r="F22" s="205"/>
      <c r="G22" s="144"/>
      <c r="H22" s="144"/>
      <c r="I22" s="144">
        <v>0</v>
      </c>
      <c r="J22" s="144">
        <f>SUM(J16:J21)</f>
        <v>0</v>
      </c>
    </row>
    <row r="23" spans="1:12" ht="70.5">
      <c r="A23" s="206" t="s">
        <v>98</v>
      </c>
      <c r="B23" s="79">
        <v>4.0999999999999996</v>
      </c>
      <c r="C23" s="78" t="s">
        <v>100</v>
      </c>
      <c r="D23" s="137" t="s">
        <v>208</v>
      </c>
      <c r="E23" s="79">
        <v>10</v>
      </c>
      <c r="F23" s="79">
        <v>40</v>
      </c>
      <c r="G23" s="165" t="e">
        <f>MIN(#REF!)</f>
        <v>#REF!</v>
      </c>
      <c r="H23" s="165" t="e">
        <f>MAX(#REF!)</f>
        <v>#REF!</v>
      </c>
      <c r="I23" s="81"/>
      <c r="J23" s="178"/>
    </row>
    <row r="24" spans="1:12" ht="51.75" customHeight="1">
      <c r="A24" s="206"/>
      <c r="B24" s="77">
        <v>4.2</v>
      </c>
      <c r="C24" s="86" t="s">
        <v>170</v>
      </c>
      <c r="D24" s="86" t="s">
        <v>209</v>
      </c>
      <c r="E24" s="77">
        <v>1</v>
      </c>
      <c r="F24" s="79">
        <v>40</v>
      </c>
      <c r="G24" s="155" t="e">
        <f>MIN(#REF!)</f>
        <v>#REF!</v>
      </c>
      <c r="H24" s="155" t="e">
        <f>MAX(#REF!)</f>
        <v>#REF!</v>
      </c>
      <c r="I24" s="81"/>
      <c r="J24" s="155"/>
      <c r="L24" s="179" t="s">
        <v>210</v>
      </c>
    </row>
    <row r="25" spans="1:12" ht="56.25" customHeight="1">
      <c r="A25" s="206"/>
      <c r="B25" s="79">
        <v>4.3</v>
      </c>
      <c r="C25" s="78" t="s">
        <v>103</v>
      </c>
      <c r="D25" s="78" t="s">
        <v>104</v>
      </c>
      <c r="E25" s="79">
        <v>1</v>
      </c>
      <c r="F25" s="79">
        <v>40</v>
      </c>
      <c r="G25" s="178" t="e">
        <f>MIN(#REF!)</f>
        <v>#REF!</v>
      </c>
      <c r="H25" s="178" t="e">
        <f>MAX(#REF!)</f>
        <v>#REF!</v>
      </c>
      <c r="I25" s="81"/>
      <c r="J25" s="178"/>
      <c r="L25" s="179" t="s">
        <v>211</v>
      </c>
    </row>
    <row r="26" spans="1:12">
      <c r="A26" s="205" t="s">
        <v>105</v>
      </c>
      <c r="B26" s="205"/>
      <c r="C26" s="205"/>
      <c r="D26" s="205"/>
      <c r="E26" s="205"/>
      <c r="F26" s="205"/>
      <c r="G26" s="144"/>
      <c r="H26" s="144"/>
      <c r="I26" s="144">
        <v>0</v>
      </c>
      <c r="J26" s="144">
        <f>SUM(J23:J25)</f>
        <v>0</v>
      </c>
    </row>
    <row r="27" spans="1:12" ht="88.5" customHeight="1">
      <c r="A27" s="206" t="s">
        <v>106</v>
      </c>
      <c r="B27" s="77">
        <v>5.0999999999999996</v>
      </c>
      <c r="C27" s="139" t="s">
        <v>173</v>
      </c>
      <c r="D27" s="175" t="s">
        <v>212</v>
      </c>
      <c r="E27" s="79">
        <v>18</v>
      </c>
      <c r="F27" s="77">
        <v>2</v>
      </c>
      <c r="G27" s="155" t="e">
        <f>MIN(#REF!)</f>
        <v>#REF!</v>
      </c>
      <c r="H27" s="155" t="e">
        <f>MAX(#REF!)</f>
        <v>#REF!</v>
      </c>
      <c r="I27" s="81"/>
      <c r="J27" s="155"/>
    </row>
    <row r="28" spans="1:12" ht="86.25" customHeight="1">
      <c r="A28" s="206"/>
      <c r="B28" s="77">
        <v>5.2</v>
      </c>
      <c r="C28" s="139" t="s">
        <v>175</v>
      </c>
      <c r="D28" s="175" t="s">
        <v>213</v>
      </c>
      <c r="E28" s="79">
        <v>9</v>
      </c>
      <c r="F28" s="77">
        <v>2</v>
      </c>
      <c r="G28" s="155" t="e">
        <f>MIN(#REF!)</f>
        <v>#REF!</v>
      </c>
      <c r="H28" s="155" t="e">
        <f>MAX(#REF!)</f>
        <v>#REF!</v>
      </c>
      <c r="I28" s="81"/>
      <c r="J28" s="155"/>
    </row>
    <row r="29" spans="1:12">
      <c r="A29" s="205" t="s">
        <v>110</v>
      </c>
      <c r="B29" s="205"/>
      <c r="C29" s="205"/>
      <c r="D29" s="205"/>
      <c r="E29" s="205"/>
      <c r="F29" s="205"/>
      <c r="G29" s="144"/>
      <c r="H29" s="144"/>
      <c r="I29" s="144">
        <v>0</v>
      </c>
      <c r="J29" s="144">
        <f>SUM(J27:J28)</f>
        <v>0</v>
      </c>
    </row>
    <row r="30" spans="1:12" ht="52.35" customHeight="1">
      <c r="A30" s="206" t="s">
        <v>177</v>
      </c>
      <c r="B30" s="77">
        <v>6.1</v>
      </c>
      <c r="C30" s="86" t="s">
        <v>178</v>
      </c>
      <c r="D30" s="78" t="s">
        <v>214</v>
      </c>
      <c r="E30" s="77">
        <v>3</v>
      </c>
      <c r="F30" s="77">
        <v>1.5</v>
      </c>
      <c r="G30" s="155" t="e">
        <f>MIN(#REF!)</f>
        <v>#REF!</v>
      </c>
      <c r="H30" s="155" t="e">
        <f>MAX(#REF!)</f>
        <v>#REF!</v>
      </c>
      <c r="I30" s="81"/>
      <c r="J30" s="155"/>
    </row>
    <row r="31" spans="1:12" ht="52.35" customHeight="1">
      <c r="A31" s="206"/>
      <c r="B31" s="77">
        <v>6.2</v>
      </c>
      <c r="C31" s="86" t="s">
        <v>189</v>
      </c>
      <c r="D31" s="78" t="s">
        <v>215</v>
      </c>
      <c r="E31" s="77">
        <v>3</v>
      </c>
      <c r="F31" s="77">
        <v>1</v>
      </c>
      <c r="G31" s="155" t="e">
        <f>MIN(#REF!)</f>
        <v>#REF!</v>
      </c>
      <c r="H31" s="155" t="e">
        <f>MAX(#REF!)</f>
        <v>#REF!</v>
      </c>
      <c r="I31" s="81"/>
      <c r="J31" s="155"/>
    </row>
    <row r="32" spans="1:12">
      <c r="A32" s="205" t="s">
        <v>115</v>
      </c>
      <c r="B32" s="205"/>
      <c r="C32" s="205"/>
      <c r="D32" s="205"/>
      <c r="E32" s="205"/>
      <c r="F32" s="205"/>
      <c r="G32" s="144"/>
      <c r="H32" s="144"/>
      <c r="I32" s="144">
        <v>0</v>
      </c>
      <c r="J32" s="144">
        <f>SUM(J30:J31)</f>
        <v>0</v>
      </c>
    </row>
    <row r="33" spans="1:10">
      <c r="A33" s="91"/>
      <c r="B33" s="91"/>
      <c r="C33" s="91"/>
      <c r="D33" s="91"/>
      <c r="E33" s="91"/>
      <c r="F33" s="91"/>
      <c r="G33" s="92"/>
      <c r="H33" s="92"/>
      <c r="I33" s="92">
        <v>0</v>
      </c>
      <c r="J33" s="92">
        <f>E33*F33*I33</f>
        <v>0</v>
      </c>
    </row>
    <row r="34" spans="1:10">
      <c r="B34" s="186" t="s">
        <v>116</v>
      </c>
      <c r="C34" s="187"/>
      <c r="D34" s="187"/>
      <c r="E34" s="187"/>
      <c r="F34" s="187"/>
      <c r="G34" s="161"/>
      <c r="H34" s="161"/>
      <c r="I34" s="161">
        <v>0</v>
      </c>
      <c r="J34" s="115">
        <f>SUM(J32,J29,J26,J22,J15,J12)</f>
        <v>0</v>
      </c>
    </row>
    <row r="35" spans="1:10">
      <c r="B35" s="117">
        <v>3</v>
      </c>
      <c r="C35" s="93" t="s">
        <v>117</v>
      </c>
      <c r="D35" s="94"/>
      <c r="E35" s="95" t="s">
        <v>118</v>
      </c>
      <c r="F35" s="95"/>
      <c r="G35" s="96"/>
      <c r="H35" s="96"/>
      <c r="I35" s="96">
        <v>0</v>
      </c>
      <c r="J35" s="96"/>
    </row>
    <row r="36" spans="1:10" ht="78.75" customHeight="1">
      <c r="B36" s="119">
        <v>3.1</v>
      </c>
      <c r="C36" s="97" t="s">
        <v>119</v>
      </c>
      <c r="D36" s="78" t="s">
        <v>120</v>
      </c>
      <c r="F36" s="77" t="s">
        <v>121</v>
      </c>
      <c r="G36" s="98" t="e">
        <f>MIN(#REF!)</f>
        <v>#REF!</v>
      </c>
      <c r="H36" s="98" t="e">
        <f>MAX(#REF!)</f>
        <v>#REF!</v>
      </c>
      <c r="I36" s="98">
        <v>0.15</v>
      </c>
      <c r="J36" s="172">
        <f>J34*I36</f>
        <v>0</v>
      </c>
    </row>
    <row r="37" spans="1:10" ht="38.450000000000003" customHeight="1">
      <c r="B37" s="209" t="s">
        <v>122</v>
      </c>
      <c r="C37" s="210"/>
      <c r="D37" s="210"/>
      <c r="E37" s="210"/>
      <c r="F37" s="211"/>
      <c r="G37" s="147"/>
      <c r="H37" s="147"/>
      <c r="I37" s="147">
        <v>0</v>
      </c>
      <c r="J37" s="147">
        <f>J34+J36</f>
        <v>0</v>
      </c>
    </row>
  </sheetData>
  <autoFilter ref="A5:I5" xr:uid="{B8626518-C0C5-455A-86F1-AEA0A9ABA18C}"/>
  <mergeCells count="17">
    <mergeCell ref="A27:A28"/>
    <mergeCell ref="B1:J1"/>
    <mergeCell ref="B2:C3"/>
    <mergeCell ref="D2:J3"/>
    <mergeCell ref="A6:A11"/>
    <mergeCell ref="A12:F12"/>
    <mergeCell ref="A13:A14"/>
    <mergeCell ref="A15:F15"/>
    <mergeCell ref="A16:A21"/>
    <mergeCell ref="A22:F22"/>
    <mergeCell ref="A23:A25"/>
    <mergeCell ref="A26:F26"/>
    <mergeCell ref="A29:F29"/>
    <mergeCell ref="A30:A31"/>
    <mergeCell ref="A32:F32"/>
    <mergeCell ref="B34:F34"/>
    <mergeCell ref="B37:F37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D4B14A089C50147BA9ACA5E7F4D7D5E" ma:contentTypeVersion="16" ma:contentTypeDescription="Crear nuevo documento." ma:contentTypeScope="" ma:versionID="46c920a8b47c8bf7d77662adcadef2a1">
  <xsd:schema xmlns:xsd="http://www.w3.org/2001/XMLSchema" xmlns:xs="http://www.w3.org/2001/XMLSchema" xmlns:p="http://schemas.microsoft.com/office/2006/metadata/properties" xmlns:ns2="d25a3f8e-201f-4de9-88de-cae5945aa439" xmlns:ns3="eaf8fc8e-b65b-4071-9afa-4c0cb5eaba13" targetNamespace="http://schemas.microsoft.com/office/2006/metadata/properties" ma:root="true" ma:fieldsID="079aad91e92a917314f19564a3a3f350" ns2:_="" ns3:_="">
    <xsd:import namespace="d25a3f8e-201f-4de9-88de-cae5945aa439"/>
    <xsd:import namespace="eaf8fc8e-b65b-4071-9afa-4c0cb5eaba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5a3f8e-201f-4de9-88de-cae5945aa4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8fc8e-b65b-4071-9afa-4c0cb5eaba1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44a9b3a8-89ad-407c-a2d2-596090087d71}" ma:internalName="TaxCatchAll" ma:showField="CatchAllData" ma:web="eaf8fc8e-b65b-4071-9afa-4c0cb5eaba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f8fc8e-b65b-4071-9afa-4c0cb5eaba13" xsi:nil="true"/>
    <lcf76f155ced4ddcb4097134ff3c332f xmlns="d25a3f8e-201f-4de9-88de-cae5945aa43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9C1F218-49A8-447C-8699-791001EB6DF1}"/>
</file>

<file path=customXml/itemProps2.xml><?xml version="1.0" encoding="utf-8"?>
<ds:datastoreItem xmlns:ds="http://schemas.openxmlformats.org/officeDocument/2006/customXml" ds:itemID="{960FBB18-EABD-4B7A-A773-9D805AC35014}"/>
</file>

<file path=customXml/itemProps3.xml><?xml version="1.0" encoding="utf-8"?>
<ds:datastoreItem xmlns:ds="http://schemas.openxmlformats.org/officeDocument/2006/customXml" ds:itemID="{A8AD2379-CF42-43B1-9A80-8B7884225D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Lesly</dc:creator>
  <cp:keywords/>
  <dc:description/>
  <cp:lastModifiedBy>Andrea Johanna Parra Triana</cp:lastModifiedBy>
  <cp:revision/>
  <dcterms:created xsi:type="dcterms:W3CDTF">2023-06-29T22:56:39Z</dcterms:created>
  <dcterms:modified xsi:type="dcterms:W3CDTF">2025-06-03T20:26:48Z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0x010100DD4B14A089C50147BA9ACA5E7F4D7D5E</vt:lpwstr>
  </property>
  <property fmtid="{D5CDD505-2E9C-101B-9397-08002B2CF9AE}" pid="3" name="MediaServiceImageTags">
    <vt:lpwstr/>
  </property>
</Properties>
</file>