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70" activeTab="0"/>
  </bookViews>
  <sheets>
    <sheet name="CGN001 S Y MOVIMIENT SIN CONSOL" sheetId="1" r:id="rId1"/>
    <sheet name="CGN002 O RECIPROCAS SIN CONSOLI" sheetId="2" r:id="rId2"/>
    <sheet name="CGN001 S Y MOVIMIENTOS CONSOLID" sheetId="3" r:id="rId3"/>
    <sheet name="CGN002 O RECIPROCAS CONSOLIDADO" sheetId="4" r:id="rId4"/>
  </sheets>
  <definedNames/>
  <calcPr fullCalcOnLoad="1"/>
</workbook>
</file>

<file path=xl/sharedStrings.xml><?xml version="1.0" encoding="utf-8"?>
<sst xmlns="http://schemas.openxmlformats.org/spreadsheetml/2006/main" count="15082" uniqueCount="2832">
  <si>
    <t>Arrendamientos</t>
  </si>
  <si>
    <t>Embargos judiciales</t>
  </si>
  <si>
    <t>Reclamaciones e Indeminizaciones a Otros Sectores</t>
  </si>
  <si>
    <t>Pago por cuentas de terceros</t>
  </si>
  <si>
    <t>Otros Deudores</t>
  </si>
  <si>
    <t>PROVISION PARA DEUDORES CR</t>
  </si>
  <si>
    <t>Deudas de Dificil Cobro</t>
  </si>
  <si>
    <t>Rentas Parafiscales</t>
  </si>
  <si>
    <t>Prestación de Servicios</t>
  </si>
  <si>
    <t>Otros deudores</t>
  </si>
  <si>
    <t>PROPIEDADES PLANTA Y EQUIPO</t>
  </si>
  <si>
    <t>TERRENOS</t>
  </si>
  <si>
    <t>Urbanos</t>
  </si>
  <si>
    <t>Rurales</t>
  </si>
  <si>
    <t>CONSTRUCCIONES EN CURSO</t>
  </si>
  <si>
    <t>Edificaciones Urbanas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</si>
  <si>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</si>
  <si>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</si>
  <si>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</si>
  <si>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</si>
  <si>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</si>
  <si>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</si>
  <si>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Muebles, Enseres y Equipo de Oficina</t>
  </si>
  <si>
    <t>BIENES MUEBLES EN BODEGA</t>
  </si>
  <si>
    <t>Maquinaria y Equipo</t>
  </si>
  <si>
    <t>Equipo Médico y Científico</t>
  </si>
  <si>
    <t>Equipo de transporte traccion elevacion</t>
  </si>
  <si>
    <t>Equipo de Comedor Cocina Despensa y Hotelería</t>
  </si>
  <si>
    <t>Ajuste por inflacion</t>
  </si>
  <si>
    <t>EDIFICACIONES</t>
  </si>
  <si>
    <t>Edificios y Casas</t>
  </si>
  <si>
    <t>Construcciones en Curso</t>
  </si>
  <si>
    <t>MAQUINARIA Y EQUIPO</t>
  </si>
  <si>
    <t>Equipo de Construcción</t>
  </si>
  <si>
    <t>Maquinaria Industrial</t>
  </si>
  <si>
    <t>Equipo de Música</t>
  </si>
  <si>
    <t>Equipo de Recreación y Deportes</t>
  </si>
  <si>
    <t>Equipo de Enseñanza</t>
  </si>
  <si>
    <t>Armamento de Vigilancia</t>
  </si>
  <si>
    <t>Herramientas y Accesorios</t>
  </si>
  <si>
    <t>Otros maquinaria y equipo</t>
  </si>
  <si>
    <t>EQUIPO MEDICO Y CIENTIFICO</t>
  </si>
  <si>
    <t>Equipo de Investigación</t>
  </si>
  <si>
    <t>Equipo de Laboratorio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</si>
  <si>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</si>
  <si>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</si>
  <si>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</si>
  <si>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</si>
  <si>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</si>
  <si>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</si>
  <si>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</si>
  <si>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</si>
  <si>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</si>
  <si>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</si>
  <si>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</si>
  <si>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</si>
  <si>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</si>
  <si>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</si>
  <si>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</si>
  <si>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</si>
  <si>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</si>
  <si>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</si>
  <si>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</si>
  <si>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</si>
  <si>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</si>
  <si>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</si>
  <si>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</si>
  <si>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GASTOS PAGADOS POR ANTICIPADO</t>
  </si>
  <si>
    <t>Seguros</t>
  </si>
  <si>
    <t>Impresos, publicaciones, suscipciones y afiliaciones</t>
  </si>
  <si>
    <t>Servicios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</si>
  <si>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</si>
  <si>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</si>
  <si>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</si>
  <si>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</si>
  <si>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</si>
  <si>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</si>
  <si>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</si>
  <si>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</si>
  <si>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Elementos de Aseo, Cafetería y Lavandería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</si>
  <si>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</si>
  <si>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</si>
  <si>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</si>
  <si>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</si>
  <si>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</si>
  <si>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</si>
  <si>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Inmuebles Entregados en Administración</t>
  </si>
  <si>
    <t>Bienes Muebles en Comodato</t>
  </si>
  <si>
    <t>AMORTIZ.  ACUM, BS. ENTREG. TERC. (CR)</t>
  </si>
  <si>
    <t>Ajustes por inflación</t>
  </si>
  <si>
    <t>Equipo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</si>
  <si>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</si>
  <si>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</si>
  <si>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</si>
  <si>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</si>
  <si>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</si>
  <si>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</si>
  <si>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</si>
  <si>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</si>
  <si>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</si>
  <si>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</si>
  <si>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</si>
  <si>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</si>
  <si>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</si>
  <si>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</si>
  <si>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</si>
  <si>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</si>
  <si>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Servicios Transferidos</t>
  </si>
  <si>
    <t>Obligaciones Transferidas</t>
  </si>
  <si>
    <t>Fondos Recibidos</t>
  </si>
  <si>
    <t>Bienes Recibidos</t>
  </si>
  <si>
    <t>Servicios Recibidos</t>
  </si>
  <si>
    <t>Obligaciones Recibidas</t>
  </si>
  <si>
    <t>Derechos Transferidos</t>
  </si>
  <si>
    <t>Derechos Recibidos</t>
  </si>
  <si>
    <t>BIENES Y DERECHOS EN INVESTIGACION ADTIVA</t>
  </si>
  <si>
    <t>Bancos y Corporaciones</t>
  </si>
  <si>
    <t>Deudores</t>
  </si>
  <si>
    <t>Propiedades, Planta y Equipo</t>
  </si>
  <si>
    <t>Otros Bienes y Derechos en Investig. Adtiva</t>
  </si>
  <si>
    <t>PROV. PARA BIENES Y DERECHOS EN INVEST. ADTIVA</t>
  </si>
  <si>
    <t>VALORIZACIONES</t>
  </si>
  <si>
    <t>Inversion en entidades privadas</t>
  </si>
  <si>
    <t>Terrenos</t>
  </si>
  <si>
    <t>Bienes Muebles en Bodega</t>
  </si>
  <si>
    <t>Muebles, enseres y Equipo de Oficina</t>
  </si>
  <si>
    <t>Equipos de Comunicación y Computación</t>
  </si>
  <si>
    <t>Equipo de Transporte, Tracción y Elevación</t>
  </si>
  <si>
    <t>Equipos de Comedor, Cocina, Despensa y Hoteleria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</si>
  <si>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</si>
  <si>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</si>
  <si>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</si>
  <si>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</si>
  <si>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</si>
  <si>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</si>
  <si>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</si>
  <si>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</si>
  <si>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</si>
  <si>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</si>
  <si>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</si>
  <si>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</si>
  <si>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</si>
  <si>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</si>
  <si>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</si>
  <si>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</si>
  <si>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</si>
  <si>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</si>
  <si>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</si>
  <si>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</si>
  <si>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</si>
  <si>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</si>
  <si>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</si>
  <si>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</si>
  <si>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</si>
  <si>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</si>
  <si>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Embargos Judiciales</t>
  </si>
  <si>
    <t>Cheques no cobrados o por reclamar</t>
  </si>
  <si>
    <t>Riesgos profesionales</t>
  </si>
  <si>
    <t>Fondos de Solidaridad y Garantia en salud</t>
  </si>
  <si>
    <t>Libranzas</t>
  </si>
  <si>
    <t>Aportes a esc inds ints tecnicos y Esap</t>
  </si>
  <si>
    <t>Contratos de medicina prepagada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</si>
  <si>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</si>
  <si>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</si>
  <si>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</si>
  <si>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</si>
  <si>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</si>
  <si>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</si>
  <si>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</si>
  <si>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</si>
  <si>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</si>
  <si>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</si>
  <si>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</si>
  <si>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Impto a las Ventas Retenido por Consignar</t>
  </si>
  <si>
    <t>Impuesto de Timbre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</si>
  <si>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</si>
  <si>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</si>
  <si>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</si>
  <si>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</si>
  <si>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</si>
  <si>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Contribuciones</t>
  </si>
  <si>
    <t>Impuestos sobre vehiculos automotores</t>
  </si>
  <si>
    <t>Otros Impuestos</t>
  </si>
  <si>
    <t>DEPOSITOS RECIBIDOS DE TERCEROS</t>
  </si>
  <si>
    <t>Judiciales</t>
  </si>
  <si>
    <t>En Administración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</si>
  <si>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</si>
  <si>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</si>
  <si>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</si>
  <si>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</si>
  <si>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</si>
  <si>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</si>
  <si>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</si>
  <si>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</si>
  <si>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</si>
  <si>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</si>
  <si>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</si>
  <si>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</si>
  <si>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</si>
  <si>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</si>
  <si>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Primas Extralegales</t>
  </si>
  <si>
    <t>OTROS PASIVOS</t>
  </si>
  <si>
    <t>RECAUDOS A FAVOR DE TERCEROS</t>
  </si>
  <si>
    <t>Impuestos</t>
  </si>
  <si>
    <t>Ventas por Cuentas de Terceros</t>
  </si>
  <si>
    <t>Otros Recaudos a Favor de Terceros</t>
  </si>
  <si>
    <t>INGRESOS RECIBIDOS POR ANTICIPADO</t>
  </si>
  <si>
    <t>Ventas</t>
  </si>
  <si>
    <t>Otros Ingresos recibidos por anticipado</t>
  </si>
  <si>
    <t>OBLIGACIONES EN INVESTIGACION ADTIVA</t>
  </si>
  <si>
    <t>Cuentas por Pagar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</si>
  <si>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</si>
  <si>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</si>
  <si>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</si>
  <si>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</si>
  <si>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</si>
  <si>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</si>
  <si>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</si>
  <si>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Principal y Subalterna</t>
  </si>
  <si>
    <t>SUPERAVIT POR VALORIZACION</t>
  </si>
  <si>
    <t>Propiedad planta y equipo</t>
  </si>
  <si>
    <t>Inversiones en entidades privadas</t>
  </si>
  <si>
    <t>Equipo de Transporte Tracción y elevación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</si>
  <si>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</si>
  <si>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</si>
  <si>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</si>
  <si>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</si>
  <si>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</si>
  <si>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</si>
  <si>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</si>
  <si>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</si>
  <si>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</si>
  <si>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</si>
  <si>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</si>
  <si>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</si>
  <si>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EFECTO DEL SANEAMIENTO CONTABLE</t>
  </si>
  <si>
    <t>Efectivo</t>
  </si>
  <si>
    <t>INGRESOS</t>
  </si>
  <si>
    <t>INGRESOS FISCALES</t>
  </si>
  <si>
    <t>NO TRIBUTARIOS</t>
  </si>
  <si>
    <t>Pliegos de licitaciones</t>
  </si>
  <si>
    <t>Concesión Sociedades Portuarias</t>
  </si>
  <si>
    <t>Publicaciones</t>
  </si>
  <si>
    <t>Otros Ingresos no tributarios</t>
  </si>
  <si>
    <t>INGRESOS POR FONDOS ESPECIALES</t>
  </si>
  <si>
    <t>Escuelas Industriales e Inst. Técnicos Ley 21/82</t>
  </si>
  <si>
    <t>Fondo Recursos Monitoreo y Vigilancia Educación Superior</t>
  </si>
  <si>
    <t>Otros Fondos Especiales</t>
  </si>
  <si>
    <t>DEVOLUCIONES Y DESCUENTOS</t>
  </si>
  <si>
    <t>Ingresos no tributarios</t>
  </si>
  <si>
    <t>Ingresos por Fondos Especiales</t>
  </si>
  <si>
    <t>VENTA DE SERVICIOS</t>
  </si>
  <si>
    <t>SERVICIOS EDUCATIVOS</t>
  </si>
  <si>
    <t>Educación Formal Superior Técnica Profesional</t>
  </si>
  <si>
    <t>Educación Formal Superior Postgrados</t>
  </si>
  <si>
    <t>OTROS SERVICIOS</t>
  </si>
  <si>
    <t>DEVOLUCIONES REBAJAS Y DESCUENTO EN VTA SER</t>
  </si>
  <si>
    <t>TRANSFERENCIAS RECIBIDAS</t>
  </si>
  <si>
    <t>TRANSFERENCIAS CORRIENTES DEL GOBIERNO GRAL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</si>
  <si>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</si>
  <si>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</si>
  <si>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</si>
  <si>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</si>
  <si>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</si>
  <si>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</si>
  <si>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</si>
  <si>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</si>
  <si>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</si>
  <si>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</si>
  <si>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</si>
  <si>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</si>
  <si>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</si>
  <si>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</si>
  <si>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Contribuciones para el ICBF</t>
  </si>
  <si>
    <t>Otras Operaciones de enlace sin situación de Fondos</t>
  </si>
  <si>
    <t>OPERACIONES DE TRASP.DE BIENES DERECHOS</t>
  </si>
  <si>
    <t>OTROS INGRESOS</t>
  </si>
  <si>
    <t>FINANCIEROS</t>
  </si>
  <si>
    <t>Intereses y rendimientos de deudores</t>
  </si>
  <si>
    <t>Intereses por Financiación Usuarios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</si>
  <si>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</si>
  <si>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</si>
  <si>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</si>
  <si>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</si>
  <si>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</si>
  <si>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</si>
  <si>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</si>
  <si>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</si>
  <si>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</si>
  <si>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</si>
  <si>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</si>
  <si>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Donaciones</t>
  </si>
  <si>
    <t>Reintegros vigencias anteriores</t>
  </si>
  <si>
    <t>Excedentes Financieros de Otros Entes Públicos</t>
  </si>
  <si>
    <t>Otros Ingresos extraordinarios</t>
  </si>
  <si>
    <t>AJUSTE DE EJERCICIOS ANTERIORES</t>
  </si>
  <si>
    <t>No tributarios</t>
  </si>
  <si>
    <t>Financieros</t>
  </si>
  <si>
    <t>Extrardinarios</t>
  </si>
  <si>
    <t>Transferencias Corrientes de Gobierno General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</si>
  <si>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</si>
  <si>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</si>
  <si>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</si>
  <si>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</si>
  <si>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</si>
  <si>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</si>
  <si>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</si>
  <si>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</si>
  <si>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</si>
  <si>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</si>
  <si>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</si>
  <si>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</si>
  <si>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</si>
  <si>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</si>
  <si>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</si>
  <si>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</si>
  <si>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</si>
  <si>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</si>
  <si>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</si>
  <si>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</si>
  <si>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</si>
  <si>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</si>
  <si>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</si>
  <si>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Prima de Coordinación</t>
  </si>
  <si>
    <t>Subsidio de alimentaciòn</t>
  </si>
  <si>
    <t>Otros Sueldos y salarios</t>
  </si>
  <si>
    <t>CONTRIBUCIONES IMPUTADAS</t>
  </si>
  <si>
    <t>Incapacidades</t>
  </si>
  <si>
    <t>Indemnizaciones</t>
  </si>
  <si>
    <t>Cuotas partes de pensión jubilación</t>
  </si>
  <si>
    <t>Cuotas partes de Bonos Pensionales Emitidos</t>
  </si>
  <si>
    <t>CONTRIBUCIONES EFECTIVAS</t>
  </si>
  <si>
    <t>Aportes de cajas de compensacion familiar</t>
  </si>
  <si>
    <t>Aportes a seguridad social en salud</t>
  </si>
  <si>
    <t>Aporters Sindicales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</si>
  <si>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</si>
  <si>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</si>
  <si>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</si>
  <si>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</si>
  <si>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</si>
  <si>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</si>
  <si>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</si>
  <si>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</si>
  <si>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</si>
  <si>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</si>
  <si>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</si>
  <si>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</si>
  <si>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</si>
  <si>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</si>
  <si>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</si>
  <si>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</si>
  <si>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</si>
  <si>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</si>
  <si>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</si>
  <si>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Fotocopias</t>
  </si>
  <si>
    <t>Comunicación y transporte</t>
  </si>
  <si>
    <t>Seguros Generales</t>
  </si>
  <si>
    <t>Imprevistos</t>
  </si>
  <si>
    <t>Promoción y Divulgación</t>
  </si>
  <si>
    <t>Capacitación Docente</t>
  </si>
  <si>
    <t>Materiales de Educación</t>
  </si>
  <si>
    <t>Diseños y Estudios</t>
  </si>
  <si>
    <t>Seguridad Industrial</t>
  </si>
  <si>
    <t>Implementos Deportivos</t>
  </si>
  <si>
    <t>Eventos Culturales</t>
  </si>
  <si>
    <t>Combustibles y lubricantes</t>
  </si>
  <si>
    <t>Servicios Aseo cafetería y restaurante</t>
  </si>
  <si>
    <t>Procesamiento de información</t>
  </si>
  <si>
    <t>Consulta Central Riesgos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</si>
  <si>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</si>
  <si>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</si>
  <si>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</si>
  <si>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</si>
  <si>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</si>
  <si>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</si>
  <si>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</si>
  <si>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Gravamen a los movimientos financieros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</si>
  <si>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</si>
  <si>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</si>
  <si>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</si>
  <si>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</si>
  <si>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</si>
  <si>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</si>
  <si>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</si>
  <si>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</si>
  <si>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</si>
  <si>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</si>
  <si>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</si>
  <si>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</si>
  <si>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</si>
  <si>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</si>
  <si>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</si>
  <si>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</si>
  <si>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</si>
  <si>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</si>
  <si>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</si>
  <si>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</si>
  <si>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</si>
  <si>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</si>
  <si>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</si>
  <si>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</si>
  <si>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</si>
  <si>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</si>
  <si>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</si>
  <si>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</si>
  <si>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</si>
  <si>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</si>
  <si>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</si>
  <si>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</si>
  <si>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Municipal - Administración Central</t>
  </si>
  <si>
    <t>Municipal - Administración Descentralizada - Entes Autónomos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</si>
  <si>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</si>
  <si>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</si>
  <si>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</si>
  <si>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</si>
  <si>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</si>
  <si>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</si>
  <si>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</si>
  <si>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</si>
  <si>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</si>
  <si>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</si>
  <si>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</si>
  <si>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</si>
  <si>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</si>
  <si>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</si>
  <si>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</si>
  <si>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</si>
  <si>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</si>
  <si>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</si>
  <si>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</si>
  <si>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</si>
  <si>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</si>
  <si>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</si>
  <si>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</si>
  <si>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</si>
  <si>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</si>
  <si>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</si>
  <si>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</si>
  <si>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SALUD</t>
  </si>
  <si>
    <t>Sueldos y Salarios</t>
  </si>
  <si>
    <t>ADUCACION, ARTE,CULTURA,REC.Y DEP.</t>
  </si>
  <si>
    <t>Generales</t>
  </si>
  <si>
    <t>JUSTICIA, DEFENSA Y SEGURIDAD</t>
  </si>
  <si>
    <t>APORTES Y TRANSPASOS DE FONDOS GIRADOS</t>
  </si>
  <si>
    <t>Gastos de personal</t>
  </si>
  <si>
    <t>Servicio Deduda Interna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</si>
  <si>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</si>
  <si>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</si>
  <si>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</si>
  <si>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</si>
  <si>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</si>
  <si>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Cruce de Cuentas</t>
  </si>
  <si>
    <t>OPERACIONES DE TRASPASO DE B. Y D.</t>
  </si>
  <si>
    <t>Bienes Transferidos</t>
  </si>
  <si>
    <t>OTROS GASTOS</t>
  </si>
  <si>
    <t>INTERESES</t>
  </si>
  <si>
    <t>Obligaciones Financieras de Créditos Obtenidos</t>
  </si>
  <si>
    <t>Adquisicion de bienes y servicios</t>
  </si>
  <si>
    <t>Comisiones y otros gastos bancarios</t>
  </si>
  <si>
    <t>otros gtos financieros</t>
  </si>
  <si>
    <t>Ajustes o Mermas sin Responsabiliad</t>
  </si>
  <si>
    <t>Pérdida en la baja de propiedades planta y equipo</t>
  </si>
  <si>
    <t>Aportes sobre la Nómina</t>
  </si>
  <si>
    <t>Impuestos y Contribuciones</t>
  </si>
  <si>
    <t>Gastos Financieras</t>
  </si>
  <si>
    <t>Intereses</t>
  </si>
  <si>
    <t>Extraordinarios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</si>
  <si>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</si>
  <si>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</si>
  <si>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</si>
  <si>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</si>
  <si>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</si>
  <si>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</si>
  <si>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Amortizaciones de Intangibles</t>
  </si>
  <si>
    <t>Transferencias por Convenios con el Sector Privado</t>
  </si>
  <si>
    <t>Transferencias corrientes al gobierno general</t>
  </si>
  <si>
    <t>Gtos de Inv. Soc. Educ. Arte y Cultura y Recreac. Y Deporte</t>
  </si>
  <si>
    <t>Gasto de inversión social - ciencia y tecnología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</si>
  <si>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</si>
  <si>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</si>
  <si>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</si>
  <si>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</si>
  <si>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</si>
  <si>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</si>
  <si>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BIENES PENDIENTES DE LEGALIZAR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</si>
  <si>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</si>
  <si>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</si>
  <si>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</si>
  <si>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</si>
  <si>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</si>
  <si>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</si>
  <si>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Bienes Pendientes de Legalizar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</si>
  <si>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</si>
  <si>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</si>
  <si>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</si>
  <si>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</si>
  <si>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</si>
  <si>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</si>
  <si>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</si>
  <si>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</si>
  <si>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</si>
  <si>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</si>
  <si>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BIENES RECIBIDOS DE TERCEROS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</si>
  <si>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</si>
  <si>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</si>
  <si>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</si>
  <si>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</si>
  <si>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</si>
  <si>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</si>
  <si>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</si>
  <si>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Bienes Recibidos de Terceros</t>
  </si>
  <si>
    <t>CUENTAS DE PLANEACION Y PRESUPUESTO</t>
  </si>
  <si>
    <t>PRESUPUESTO DE INGRESOS</t>
  </si>
  <si>
    <t>INGRESOS APROBADOS DB</t>
  </si>
  <si>
    <t>Venta de Servicios Educativos</t>
  </si>
  <si>
    <t>Transferencias Nacionales</t>
  </si>
  <si>
    <t>INGRESOS POR EJECUTAR CR</t>
  </si>
  <si>
    <t>RECAUDOS EN EFECTIVO CR</t>
  </si>
  <si>
    <t>RECONOCIMIENTOS  DB</t>
  </si>
  <si>
    <t>Venta de Servicios</t>
  </si>
  <si>
    <t>Otras transferencias</t>
  </si>
  <si>
    <t xml:space="preserve">RECAUDO POR INGRESOS NO AFORADOS CR </t>
  </si>
  <si>
    <t>RECONOCIMIENTOS VIGENCIAS ANTERIORES DB</t>
  </si>
  <si>
    <t xml:space="preserve">RECONOC.  POR EJECUTAR VIGENCIAS ANTERIORES CR 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</si>
  <si>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</si>
  <si>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</si>
  <si>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</si>
  <si>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</si>
  <si>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</si>
  <si>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</si>
  <si>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</si>
  <si>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</si>
  <si>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</si>
  <si>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030520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</si>
  <si>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</si>
  <si>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</si>
  <si>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</si>
  <si>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</si>
  <si>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</si>
  <si>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</si>
  <si>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</si>
  <si>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</si>
  <si>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</si>
  <si>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</si>
  <si>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Situado fiscal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</si>
  <si>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</si>
  <si>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</si>
  <si>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</si>
  <si>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</si>
  <si>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</si>
  <si>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</si>
  <si>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</si>
  <si>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</si>
  <si>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</si>
  <si>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</si>
  <si>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</si>
  <si>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</si>
  <si>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</si>
  <si>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</si>
  <si>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</si>
  <si>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</si>
  <si>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</si>
  <si>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</si>
  <si>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</si>
  <si>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</si>
  <si>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</si>
  <si>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</si>
  <si>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</si>
  <si>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</si>
  <si>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</si>
  <si>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</si>
  <si>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</si>
  <si>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</si>
  <si>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</si>
  <si>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</si>
  <si>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</si>
  <si>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Servicios Personales</t>
  </si>
  <si>
    <t>RESERVAS PRESUPUESTALES PAGADAS</t>
  </si>
  <si>
    <t>CUENTAS POR PAGAR CONSTITUIDAS (CR)</t>
  </si>
  <si>
    <t>CUENTAS POR PAGAR PENDIENTES DE CANCELAR</t>
  </si>
  <si>
    <t>Programas de Inversion</t>
  </si>
  <si>
    <t>CUENTAS POR PAGAR CANCELADAS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</si>
  <si>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</si>
  <si>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</si>
  <si>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</si>
  <si>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</si>
  <si>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EDUCACION, ARTE,CULTURA,REC.Y DEP.</t>
  </si>
  <si>
    <t>Cundinamarca</t>
  </si>
  <si>
    <t>CGN2005_002_OPERACIONES_RECIPROCAS</t>
  </si>
  <si>
    <t>Bogotá D.C.</t>
  </si>
  <si>
    <t>Ministerio de Educación Nacional</t>
  </si>
  <si>
    <t>CÓDIGO INSTITUCIONAL</t>
  </si>
  <si>
    <t>NOMBRE DE LA ENTIDAD</t>
  </si>
  <si>
    <t>VALOR CORRIENTE</t>
  </si>
  <si>
    <t>VALOR NO CORRIENTE</t>
  </si>
  <si>
    <t>CODIGO CONTABLE SUBCUENTA</t>
  </si>
  <si>
    <t>NOMBRE DE LA SUBCUENTA</t>
  </si>
  <si>
    <t>TITULOS DE TESORERIA TES</t>
  </si>
  <si>
    <t>BANCO DE LA REPUBLICA</t>
  </si>
  <si>
    <t>ESCUELAS INDUSTRIALES E INSTITUTOS TECNICOS</t>
  </si>
  <si>
    <t>DEPARTAMENTO NACIONAL DE PLANEACION</t>
  </si>
  <si>
    <t>DEPARTAMENTO ADMINISTRATIVO PRESIDENCIA DE LA REPUBLICA</t>
  </si>
  <si>
    <t>MINISTERIO DE AGRICULTURA</t>
  </si>
  <si>
    <t>COMANDO GENERAL FUERZAS MILITARES</t>
  </si>
  <si>
    <t>PROCURADURIA GENERAL DE LA NACION</t>
  </si>
  <si>
    <t>DIRECCION DE SANIDAD POLICIA NACIONAL</t>
  </si>
  <si>
    <t>DANSOCIAL</t>
  </si>
  <si>
    <t>SUPERINTENDENCIA DE VALORES</t>
  </si>
  <si>
    <t>SENADO DE LA REPUBLICA</t>
  </si>
  <si>
    <t>AUDITORIA GENERAL DE LA REPUBLICA (ANTIOQUIA)</t>
  </si>
  <si>
    <t>AUDITORIA GENERAL DE LA REPUBLICA (HUILA)</t>
  </si>
  <si>
    <t>AUDITORIA GENERAL DE LA REPUBLICA (QUINDIO)</t>
  </si>
  <si>
    <t>AUDITORIA GENERAL DE LA REPUBLICA (SANTANDER)</t>
  </si>
  <si>
    <t>AUDITORIA GENERAL DE LA REPUBLICA (CALI)</t>
  </si>
  <si>
    <t>DEPARTAMENTO ADMINISTRATIVO DE TRANSITO Y TRANSPORTE DE CUCUTA</t>
  </si>
  <si>
    <t>MINISTERIO DE PROTECCION SOCIAL</t>
  </si>
  <si>
    <t>MINISTERIO DEL MEDIO AMBIENTE</t>
  </si>
  <si>
    <t>ALCALDIA MUNICIPAL DE BOLIVAR (ANTIOQUIA)</t>
  </si>
  <si>
    <t>ASAMBLEA DEPARTAMENTAL DE CALDAS</t>
  </si>
  <si>
    <t>ASAMBLEA DEPARTAMENTAL DEL CAUCA</t>
  </si>
  <si>
    <t>CONTRALORIA DEPARTAMENTAL DEL HUILA</t>
  </si>
  <si>
    <t>GOBERNACION DEL META</t>
  </si>
  <si>
    <t>ALCALDIA MUNICIPAL DE NARIÑO</t>
  </si>
  <si>
    <t>ASAMBLEA DEPARTAMENTAL DE NORTE DE SANTANDER</t>
  </si>
  <si>
    <t>CONTRALORIA DEPARTAMENTAL DE RISARALDA</t>
  </si>
  <si>
    <t>CONTRALORIA DEPARTAMENTAL DE SANTANDER</t>
  </si>
  <si>
    <t>ASAMBLEA DEPARTAMENTAL DEL PUTUMAYO</t>
  </si>
  <si>
    <t>ASAMBLEA DEPARTAMENTAL DE GUAINIA</t>
  </si>
  <si>
    <t>GOBERNACION DE VAUPÉS</t>
  </si>
  <si>
    <t>ALCALDIA MUNICIPAL DE RIO VIEJO</t>
  </si>
  <si>
    <t>PERSONERIA MUNICIPAL DE RAQUIRA</t>
  </si>
  <si>
    <t>ALCALDIA MUNICIPAL DE COGUA</t>
  </si>
  <si>
    <t>CONCEJO DISTRITAL DE BARRANQUILLA</t>
  </si>
  <si>
    <t>PERSONERIA DE BOGOTÁ D.C.</t>
  </si>
  <si>
    <t>PERSONERIA MUNICIPAL DE TUNJA</t>
  </si>
  <si>
    <t>ALCALDIA MUNICIPAL DE LA VICTORIA (BOYACA)</t>
  </si>
  <si>
    <t>PERSONERIA MUNICIPAL DE FLORENCIA</t>
  </si>
  <si>
    <t>PERSONERIA MUNICIPAL DE POPAYAN</t>
  </si>
  <si>
    <t>CONCEJO MUNICIPAL DE MONTERÍA</t>
  </si>
  <si>
    <t>ALCALDIA MUNICIPAL DE AGUA DE DIOS</t>
  </si>
  <si>
    <t>CONCEJO MUNICIPAL DE QUIBDO</t>
  </si>
  <si>
    <t>CONTRALORIA MUNICIPAL DE NEIVA</t>
  </si>
  <si>
    <t>ALCALDIA MUNICIPAL DE TERUEL</t>
  </si>
  <si>
    <t>ALCALDIA DISTRITO TURISTICO DE SANTA MARTA</t>
  </si>
  <si>
    <t>CONTRALORIA MUNICIPAL DE VILLAVICENCIO</t>
  </si>
  <si>
    <t>ALCALDIA MUNICIPAL DE ARMENIA (QUINDIO)</t>
  </si>
  <si>
    <t>CONCEJO MUNICIPAL DE PEREIRA</t>
  </si>
  <si>
    <t>PERSONERIA MUNICIPAL DE BOLIVAR (SANTANDER)</t>
  </si>
  <si>
    <t>ALCALDIA MUNICIPAL DE SINCELEJO</t>
  </si>
  <si>
    <t>CONCEJO MUNICIPAL DE YOPAL</t>
  </si>
  <si>
    <t>210205002</t>
  </si>
  <si>
    <t>ALCALDIA MUNICIPAL DE ABEJORRAL</t>
  </si>
  <si>
    <t>ALCALDIA MUNICIPAL DE LA VEGA (CUNDINAMARCA)</t>
  </si>
  <si>
    <t>ALCALDIA MUNICIPAL DE LA UVITA</t>
  </si>
  <si>
    <t>ALCALDIA MUNICIPAL DE OPORAPA</t>
  </si>
  <si>
    <t>PERSONERIA MUNICIPAL DE CURILLO</t>
  </si>
  <si>
    <t>ALCALDIA MUNICIPAL DE TIBACUY</t>
  </si>
  <si>
    <t>ALCALDIA MUNICIPAL DE CONDOTO</t>
  </si>
  <si>
    <t>ALCALDIA MUNICIPAL DE REPELON</t>
  </si>
  <si>
    <t>ALCALDIA MUNICIPAL DE ACHI</t>
  </si>
  <si>
    <t>ALCALDIA MUNICIPAL DE ACEVEDO</t>
  </si>
  <si>
    <t>ALCALDIA MUNICIPAL DE GIGANTE</t>
  </si>
  <si>
    <t>CONCEJO MUNICIPAL DE ACACIAS</t>
  </si>
  <si>
    <t>ALCALDIA MUNICIPAL DE RESTREPO (META)</t>
  </si>
  <si>
    <t>PERSONERIA MUNICIPAL DE GINEBRA</t>
  </si>
  <si>
    <t>ALCALDIA MUNICIPAL DE OTANCHE</t>
  </si>
  <si>
    <t>ALCALDIA MUNICIPAL DE TIMBIO</t>
  </si>
  <si>
    <t>ALCALDIA MUNICIPAL DE TIERRALTA</t>
  </si>
  <si>
    <t>CONCEJO MUNICIPAL DE GIRARDOT</t>
  </si>
  <si>
    <t>ALCALDIA MUNICIPAL DE TIMANA</t>
  </si>
  <si>
    <t>ALCALDIA MUNICIPAL DE LÉRIDA</t>
  </si>
  <si>
    <t>ALCALDIA MUNICIPAL DE BUENAVISTA (BOYACA)</t>
  </si>
  <si>
    <t>ALCALDIA MUNICIPAL DE CONFINES</t>
  </si>
  <si>
    <t>ALCALDIA MUNICIPAL DE UNION PANAMERICANA</t>
  </si>
  <si>
    <t>CONCEJO MUNICIPAL DE TIBU</t>
  </si>
  <si>
    <t>CONCEJO MUNICIPAL DE AGUAZUL</t>
  </si>
  <si>
    <t>ALCALDIA MUNICIPAL DE VISTAHERMOSA</t>
  </si>
  <si>
    <t>CONCEJO MUNICIPAL DE BUGA</t>
  </si>
  <si>
    <t>ALCALDIA MUNICIPAL DE CORDOBA (BOLIVAR)</t>
  </si>
  <si>
    <t>ALCALDIA MUNICIPAL DE GRANADA (CUNDINAMARCA)</t>
  </si>
  <si>
    <t>ALCALDIA MUNICIPAL DE AGUADAS</t>
  </si>
  <si>
    <t>ALCALDIA MUNICIPAL DE PADILLA</t>
  </si>
  <si>
    <t>ALCALDIA MUNICIPAL DE PACHO</t>
  </si>
  <si>
    <t>ALCALDIA MUNICIPAL DE AGRADO</t>
  </si>
  <si>
    <t>PERSONERIA MUNICIPAL DE GRANADA</t>
  </si>
  <si>
    <t>ALCALDIA MUNICIPAL DE AGUADA</t>
  </si>
  <si>
    <t>ALCALDIA MUNICIPAL DE BUSBANZA</t>
  </si>
  <si>
    <t>ALCALDIA MUNICIPAL DE PAEZ (BOYACA)</t>
  </si>
  <si>
    <t>ALCALDIA MUNICIPAL DE COTA</t>
  </si>
  <si>
    <t>ALCALDIA MUNICIPAL DE TOCAIMA</t>
  </si>
  <si>
    <t>ALCALDIA MUNICIPAL DE RIONEGRO (SANTANDER)</t>
  </si>
  <si>
    <t>CONCEJO MUNICIPAL DE COROZAL (SUCRE)</t>
  </si>
  <si>
    <t>ALCALDIA MUNICIPAL DE SACAMA</t>
  </si>
  <si>
    <t>ALCALDIA MUNICIPAL DE AIPE</t>
  </si>
  <si>
    <t>ALCALDIA MUNICIPAL DE GUACAMAYAS</t>
  </si>
  <si>
    <t>ALCALDIA MUNICIPAL DE GUACHETA</t>
  </si>
  <si>
    <t>CONCEJO MUNICIPAL DE TOCANCIPA</t>
  </si>
  <si>
    <t>ALCALDIA MUNICIPAL DE COROMORO</t>
  </si>
  <si>
    <t>CONCEJO MUNICIPAL DE SASAIMA</t>
  </si>
  <si>
    <t>ALCALDIA MUNICIPAL DE PAICOL</t>
  </si>
  <si>
    <t>CONCEJO MUNICIPAL DE GUAMAL</t>
  </si>
  <si>
    <t>ALCALDIA MUNICIPAL DE LOS SANTOS</t>
  </si>
  <si>
    <t>ALCALDIA MUNICIPAL DE ALBAN (CUNDINAMARCA)</t>
  </si>
  <si>
    <t>ALCALDIA MUNICIPAL DE GUADALUPE (HUILA)</t>
  </si>
  <si>
    <t>CENTRO DE SALUD DE ALBAN (NARIÑO)</t>
  </si>
  <si>
    <t>ALCALDIA MUNICIPAL DE COLON (PUTUMAYO)</t>
  </si>
  <si>
    <t>ALCALDIA MUNICIPAL DE SAN CRISTOBAL</t>
  </si>
  <si>
    <t>CONCEJO MUNICIPAL DE TOPAGA</t>
  </si>
  <si>
    <t>ALCALDIA MUNICIPAL DE CABRERA (CUNDINAMARCA)</t>
  </si>
  <si>
    <t>ALCALDIA MUNICIPAL DE GUADUAS</t>
  </si>
  <si>
    <t>ALCALDIA MUNICIPAL DE ALGECIRAS</t>
  </si>
  <si>
    <t>ALCALDIA MUNICIPAL DE PAMPLONITA</t>
  </si>
  <si>
    <t>ALCALDIA MUNICIPAL DE TONA</t>
  </si>
  <si>
    <t>ALCALDIA MUNICIPAL DE ALCALA</t>
  </si>
  <si>
    <t>PERSONERIA MUNICIPAL DE PALMIRA</t>
  </si>
  <si>
    <t>ALCALDIA MUNICIPAL DE GUATAPE</t>
  </si>
  <si>
    <t>ALCALDIA MUNICIPAL DE RONDON</t>
  </si>
  <si>
    <t>ALCALDIA MUNICIPAL DE TORIBIO</t>
  </si>
  <si>
    <t>CONCEJO MUNICIPAL DE GUATEQUE</t>
  </si>
  <si>
    <t>ALCALDIA MUNICIPAL DE GUASCA</t>
  </si>
  <si>
    <t>SECRETARIA DE SALUD MUNICIPAL DE GUAPOTA</t>
  </si>
  <si>
    <t>ALCALDIA MUNICIPAL DE CUBARA</t>
  </si>
  <si>
    <t>ALCALDIA MUNICIPAL DE TOTORO</t>
  </si>
  <si>
    <t>ALCALDIA MUNICIPAL DE CUCUNUBA</t>
  </si>
  <si>
    <t>ALCALDIA MUNICIPAL DE PALERMO</t>
  </si>
  <si>
    <t>ALCALDIA MUNICIPAL DE PALMAS DEL SOCORRO</t>
  </si>
  <si>
    <t>ALCALDIA MUNICIPAL DE ALTO BAUDO</t>
  </si>
  <si>
    <t>ALCALDIA MUNICIPAL DE CACOTA</t>
  </si>
  <si>
    <t>PERSONERIA MUNICIPAL DE NUNCHIA</t>
  </si>
  <si>
    <t>ALCALDIA MUNICIPAL DE CAJICA</t>
  </si>
  <si>
    <t>ALCALDIA MUNICIPAL DE GUATAVITA</t>
  </si>
  <si>
    <t>ALCALDIA MUNICIPAL DE ALTAMIRA</t>
  </si>
  <si>
    <t>ALCALDIA MUNICIPAL DE CUMARAL</t>
  </si>
  <si>
    <t>ALCALDIA MUNICIPAL DE CALIMA</t>
  </si>
  <si>
    <t>ALCALDIA MUNICIPAL DE CURUMANI</t>
  </si>
  <si>
    <t>ALCALDIA MUNICIPAL DE GUAYABAL DE SIQUIMA</t>
  </si>
  <si>
    <t>ALCALDIA MUNICIPAL DE ALBANIA (CAQUETA)</t>
  </si>
  <si>
    <t>CONCEJO MUNICIPAL DE MADRID</t>
  </si>
  <si>
    <t>ALCALDIA MUNICIPAL DE PARATEBUENO</t>
  </si>
  <si>
    <t>ALCALDIA MUNICIPAL DE PALESTINA (HUILA)</t>
  </si>
  <si>
    <t>ALCALDIA MUNICIPAL DE MAICAO</t>
  </si>
  <si>
    <t>ALCALDIA MUNICIPAL DE MESETAS</t>
  </si>
  <si>
    <t>ALCALDIA MUNICIPAL DE CANDELARIA (VALLE)</t>
  </si>
  <si>
    <t>213105031</t>
  </si>
  <si>
    <t>CONCEJO MUNICIPAL DE AMALFI</t>
  </si>
  <si>
    <t>ALCALDIA MUNICIPAL DE CALDAS (BOYACA)</t>
  </si>
  <si>
    <t>ALCALDIA MUNICIPAL DE CHIQUIZA</t>
  </si>
  <si>
    <t>ALCALDIA MUNICIPAL DE GUICAN</t>
  </si>
  <si>
    <t>ALCALDIA MUNICIPAL DE TUNUNGUA</t>
  </si>
  <si>
    <t>ALCALDIA MUNICIPAL DE PATIA (EL BORDO)</t>
  </si>
  <si>
    <t>ALCALDIA MUNICIPAL DE CAMPOALEGRE</t>
  </si>
  <si>
    <t>ALCALDIA MUNICIPAL DE CALIFORNIA</t>
  </si>
  <si>
    <t>ALCALDIA MUNICIPAL DE PAYA</t>
  </si>
  <si>
    <t>ALCALDIA MUNICIPAL DE PIAMONTE</t>
  </si>
  <si>
    <t>ALCALDIA MUNICIPAL DE CAMPOHERMOSO</t>
  </si>
  <si>
    <t>ALCALDIA MUNICIPAL DE GUAYABETAL</t>
  </si>
  <si>
    <t>ALCALDIA MUNICIPAL DE PASCA</t>
  </si>
  <si>
    <t>ALCALDIA MUNICIPAL DEL CANTON DE SAN PABLO</t>
  </si>
  <si>
    <t>ALCALDIA MUNICIPAL DE ALBANIA</t>
  </si>
  <si>
    <t>213605036</t>
  </si>
  <si>
    <t>ALCALDIA MUNICIPAL DE ANGELOPOLIS</t>
  </si>
  <si>
    <t>ALCALDIA MUNICIPAL DE CHIVOR</t>
  </si>
  <si>
    <t>ALCALDIA MUNICIPAL DE MANTA</t>
  </si>
  <si>
    <t>ALCALDIA MUNICIPAL DE CAMPO DE LA CRUZ</t>
  </si>
  <si>
    <t>ALCALDIA MUNICIPAL DE CALDONO</t>
  </si>
  <si>
    <t>ALCALDIA MUNICIPAL DE SABANALARGA (ATLANTICO)</t>
  </si>
  <si>
    <t>ALCALDIA MUNICIPAL DE UBALA</t>
  </si>
  <si>
    <t>214005040</t>
  </si>
  <si>
    <t>ALCALDIA MUNICIPAL DE ANORI</t>
  </si>
  <si>
    <t>PERSONERIA MUNICIPAL DE MARSELLA</t>
  </si>
  <si>
    <t>ALCALDIA MUNICIPAL DE VILLANUEVA (CASANARE)</t>
  </si>
  <si>
    <t>PERSONERIA MUNICIPAL DE CANDELARIA</t>
  </si>
  <si>
    <t>ALCALDIA MUNICIPAL DE UBAQUE</t>
  </si>
  <si>
    <t>ALCALDIA MUNICIPAL DE SANTA FE DE ANTIOQUIA</t>
  </si>
  <si>
    <t>ALCALDIA MUNICIPAL DE MARMATO</t>
  </si>
  <si>
    <t>ALCALDIA MUNICIPAL DE CALOTO</t>
  </si>
  <si>
    <t>ALCALDIA MUNICIPAL DE SINCE</t>
  </si>
  <si>
    <t>ALCALDIA MUNICIPAL DE PEQUE</t>
  </si>
  <si>
    <t>ALCALDIA MUNICIPAL DE UBATE</t>
  </si>
  <si>
    <t>ALCALDIA MUNICIPAL DE SILOS</t>
  </si>
  <si>
    <t>ALCALDIA MUNICIPAL DE ANZOATEGUI</t>
  </si>
  <si>
    <t>ALCALDIA MUNICIPAL DE SIMITI</t>
  </si>
  <si>
    <t>ALCALDIA MUNICIPAL DE ELIAS</t>
  </si>
  <si>
    <t>ALCALDIA MUNICIPAL DE HATO</t>
  </si>
  <si>
    <t>ALCALDIA MUNICIPAL DE VILLA RICA</t>
  </si>
  <si>
    <t>ALCALDIA MUNICIPAL DE EL COLEGIO</t>
  </si>
  <si>
    <t>ALCALDIA MUNICIPAL DE SIMIJACA</t>
  </si>
  <si>
    <t>ACUEDUCTO MUNICIPAL DEL CARMEN DE ATRATO</t>
  </si>
  <si>
    <t>ALCALDIA MUNICIPAL DE EL CARMEN</t>
  </si>
  <si>
    <t>ALCALDIA MUNICIPAL DE APIA</t>
  </si>
  <si>
    <t>ALCALDIA MUNICIPAL DE EL CAIRO</t>
  </si>
  <si>
    <t>CONCEJO MUNICIPAL DE CAPITANEJO</t>
  </si>
  <si>
    <t>ALCALDIA MUNICIPAL DE EL ESPINO</t>
  </si>
  <si>
    <t>ALCALDIA MUNICIPAL DE PITAL</t>
  </si>
  <si>
    <t>CONCEJO MUNICIPAL DE CARMEN DE APICALA</t>
  </si>
  <si>
    <t>PERSONERIA MUNICIPAL DE EL CERRITO</t>
  </si>
  <si>
    <t>ALCALDIA MUNICIPAL DE SAN BERNARDO (CUNDINAMARCA)</t>
  </si>
  <si>
    <t>ALCALDIA MUNICIPAL DE HONDA</t>
  </si>
  <si>
    <t>PERSONERIA MUNICIPAL DE MELGAR</t>
  </si>
  <si>
    <t>ALCALDIA MUNICIPAL DE PISBA</t>
  </si>
  <si>
    <t>ALCALDIA MUNICIPAL DE CARTAGENA DEL CHAIRA</t>
  </si>
  <si>
    <t>ALCALDIA MUNICIPAL DE PELAYA</t>
  </si>
  <si>
    <t>CONCEJO MUNICIPAL DE LA APARTADA</t>
  </si>
  <si>
    <t>CONCEJO MUNICIPAL DE CASTILLA LA NUEVA</t>
  </si>
  <si>
    <t>PERSONERIA MUNICIPAL DE PUERTO CONCORDIA</t>
  </si>
  <si>
    <t>ALCALDIA MUNICIPAL DE EL PEÑON (SANTANDER)</t>
  </si>
  <si>
    <t>ALCALDIA MUNICIPAL DE CAQUEZA</t>
  </si>
  <si>
    <t>CONCEJO MUNICIPAL DE PITALITO</t>
  </si>
  <si>
    <t>ALCALDIA MUNICIPAL DE EL CASTILLO</t>
  </si>
  <si>
    <t>PERSONERIA MUNICIPAL DE ARJONA</t>
  </si>
  <si>
    <t>ALCALDIA MUNICIPAL DE CASABIANCA</t>
  </si>
  <si>
    <t>ALCALDIA MUNICIPAL DE ICONONZO</t>
  </si>
  <si>
    <t>PERSONERIA MUNICIPAL DE SOATA</t>
  </si>
  <si>
    <t>ALCALDIA MUNICIPAL DE ARBELAEZ</t>
  </si>
  <si>
    <t>ALCALDIA MUNICIPAL DE SAN CAYETANO (CUNDINAMARCA)</t>
  </si>
  <si>
    <t>CONCEJO MUNICIPAL DE PUERTO SANTANDER</t>
  </si>
  <si>
    <t>215405154</t>
  </si>
  <si>
    <t>CONCEJO MUNICIPAL DE CAUCASIA</t>
  </si>
  <si>
    <t>ALCALDIA MUNICIPAL DE CARMEN DE CARUPA</t>
  </si>
  <si>
    <t>CONCEJO MUNICIPAL DE SOACHA</t>
  </si>
  <si>
    <t>ALCALDIA MUNICIPAL DE ARGELIA</t>
  </si>
  <si>
    <t>ALCALDIA MUNICIPAL DE ARGELIA (ANTIOQUIA)</t>
  </si>
  <si>
    <t>ALCALDIA MUNICIPAL DE INZA</t>
  </si>
  <si>
    <t>ALCALDIA MUNICIPAL DE PLANETA RICA</t>
  </si>
  <si>
    <t>ALCALDIA MUNICIPAL DE VALLE SAN JOSE</t>
  </si>
  <si>
    <t>PERSONERIA MUNICIPAL DE EL PAUJIL</t>
  </si>
  <si>
    <t>ALCALDIA MUNICIPAL DE EL TAMBO (CAUCA)</t>
  </si>
  <si>
    <t>PERSONERIA MUNICIPAL DE MISTRATO</t>
  </si>
  <si>
    <t>CONCEJO MUNICIPAL DE SAN JUAN NEPOMUCENO</t>
  </si>
  <si>
    <t>ALCALDIA MUNICIPAL DE IQUIRA</t>
  </si>
  <si>
    <t>ALCALDIA MUNICIPAL DE POLONUEVO</t>
  </si>
  <si>
    <t>CONCEJO MUNICIPAL DE SOLEDAD</t>
  </si>
  <si>
    <t>ALCALDIA MUNICIPAL DE SAN FRANCISCO (CUNDINAMARCA)</t>
  </si>
  <si>
    <t>CONCEJO MUNICIPAL DE SOPO</t>
  </si>
  <si>
    <t>CONCEJO MUNICIPAL DE SOGAMOSO</t>
  </si>
  <si>
    <t>ALCALDIA MUNICIPAL DE SAN EDUARDO</t>
  </si>
  <si>
    <t>PERSONERIA MUNICIPAL DE MILAN</t>
  </si>
  <si>
    <t>ALCALDIA MUNICIPAL DE SOTARA</t>
  </si>
  <si>
    <t>CONCEJO MUNICIPAL DE SAHAGUN</t>
  </si>
  <si>
    <t>CONCEJO MUNICIPAL DE EL ROSAL</t>
  </si>
  <si>
    <t>ALCALDIA MUNICIPAL DE SAN JOSE DEL PALMAR</t>
  </si>
  <si>
    <t>ALCALDIA MUNICIPAL DE SALADOBLANCO</t>
  </si>
  <si>
    <t>ALCALDIA MUNICIPAL DE SABANAS DE SAN ANGEL</t>
  </si>
  <si>
    <t>ALCALDIA MUNICIPAL DE ISTMINA</t>
  </si>
  <si>
    <t>ALCALDIA MUNICIPAL DE VELEZ</t>
  </si>
  <si>
    <t>CONCEJO MUNICIPAL DE CERETE</t>
  </si>
  <si>
    <t>ALCALDIA MUNICIPAL DE VERGARA</t>
  </si>
  <si>
    <t>ALCALDIA MUNICIPAL DE MONTERREY</t>
  </si>
  <si>
    <t>ALCALDIA MUNICIPAL DE PRADO</t>
  </si>
  <si>
    <t>ALCALDIA MUNICIPAL DE VALLE DEL GUAMUEZ</t>
  </si>
  <si>
    <t>PERSONERIA MUNICIPAL DE JENESANO</t>
  </si>
  <si>
    <t>ALCALDIA MUNICIPAL DE JERICO (BOYACA)</t>
  </si>
  <si>
    <t>CONCEJO MUNICIPAL DE AYAPEL</t>
  </si>
  <si>
    <t>ALCALDIA MUNICIPAL DE CHAGUANI</t>
  </si>
  <si>
    <t>ALCALDIA MUNICIPAL DE JERUSALEN</t>
  </si>
  <si>
    <t>ALCALDIA MUNICIPAL DE PUERTO GAITAN</t>
  </si>
  <si>
    <t>ALCALDIA MUNICIPAL DE CHARTA</t>
  </si>
  <si>
    <t>ALCALDIA MUNICIPAL DE SAN ANDRES (ANTIOQUIA)</t>
  </si>
  <si>
    <t>ALCALDIA MUNICIPAL DE SAN ROQUE</t>
  </si>
  <si>
    <t>PERSONERIA MUNICIPAL DE SUAN</t>
  </si>
  <si>
    <t>PERSONERIA MUNICIPAL DE EL DORADO (META)</t>
  </si>
  <si>
    <t>PERSONERIA MUNICIPAL DE LA URIBE</t>
  </si>
  <si>
    <t>ALCALDIA MUNICIPAL DE SAN CALIXTO</t>
  </si>
  <si>
    <t>CONTRALORIA MUNICIPAL DE DOSQUEBRADAS</t>
  </si>
  <si>
    <t>PERSONERIA MUNICIPAL DE FALAN</t>
  </si>
  <si>
    <t>PERSONERIA MUNICIPAL DE SUAREZ (TOLIMA)</t>
  </si>
  <si>
    <t>ALCALDIA MUNICIPAL DE VILLAHERMOSA</t>
  </si>
  <si>
    <t>ALCALDIA MUNICIPAL DE SUCRE-</t>
  </si>
  <si>
    <t>CONCEJO MUNICIPAL DE SALDAÑA</t>
  </si>
  <si>
    <t>ALCALDIA MUNICIPAL DE CHINAVITA</t>
  </si>
  <si>
    <t>CONCEJO MUNICIPAL DE PUERTO BOYACA</t>
  </si>
  <si>
    <t>ALCALDIA MUNICIPAL DE JUNIN</t>
  </si>
  <si>
    <t>ALCALDIA MUNICIPAL DE PUERTO SALGAR</t>
  </si>
  <si>
    <t>ALCALDIA MUNICIPAL DE SUESCA</t>
  </si>
  <si>
    <t>ALCALDIA MUNICIPAL DE VILLAVIEJA</t>
  </si>
  <si>
    <t>ALCALDIA MUNICIPAL DE CHINACOTA</t>
  </si>
  <si>
    <t>ALCALDIA MUNICIPAL DE PUEBLO RICO</t>
  </si>
  <si>
    <t>CONCEJO MUNICIPAL DE VILLANUEVA (SANTANDER)</t>
  </si>
  <si>
    <t>ALCALDIA MUNICIPAL DE VIGIA DEL FUERTE</t>
  </si>
  <si>
    <t>ALCALDIA MUNICIPAL DE SAN MATEO</t>
  </si>
  <si>
    <t>ALCALDIA MUNICIPAL DE MORALES (CAUCA)</t>
  </si>
  <si>
    <t>ALCALDIA MUNICIPAL DE MOSQUERA (CUNDINAMARCA)</t>
  </si>
  <si>
    <t>ALCALDIA MUNICIPAL DE PUERTO PARRA</t>
  </si>
  <si>
    <t>ALCALDIA MUNICIPAL DE CUMARIBO</t>
  </si>
  <si>
    <t>ALCALDIA MUNICIPAL DE SUSACON</t>
  </si>
  <si>
    <t>ALCALDIA MUNICIPAL DE VILLA DEL ROSARIO</t>
  </si>
  <si>
    <t>ALCALDIA MUNICIPAL DE BALBOA (CAUCA)</t>
  </si>
  <si>
    <t>ALCALDIA MUNICIPAL DE CHIMICHAGUA</t>
  </si>
  <si>
    <t>CONCEJO MUNICIPAL DE VILLETA</t>
  </si>
  <si>
    <t>ALCALDIA MUNICIPAL DE BALBOA (RISARALDA)</t>
  </si>
  <si>
    <t>ALCALDIA MUNICIPAL DE PUEBLORRICO</t>
  </si>
  <si>
    <t>PERSONERIA MUNICIPAL DE FLORIDABLANCA</t>
  </si>
  <si>
    <t>ALCALDIA MUNICIPAL DE LABRANZAGRANDE</t>
  </si>
  <si>
    <t>ALCALDIA MUNICIPAL DE LA CALERA</t>
  </si>
  <si>
    <t>ALCALDIA MUNICIPAL DE SUPATA</t>
  </si>
  <si>
    <t>ALCALDIA MUNICIPAL DE PUERTO LLERAS</t>
  </si>
  <si>
    <t>ALCALDIA MUNICIPAL DE BARBOSA (SANTANDER)</t>
  </si>
  <si>
    <t>PERSONERIA MUNICIPAL DE SUTATENZA</t>
  </si>
  <si>
    <t>ALCALDIA MUNICIPAL DE BARAYA</t>
  </si>
  <si>
    <t>ALCALDIA MUNICIPAL DE LA ARGENTINA</t>
  </si>
  <si>
    <t>PERSONERIA MUNICIPAL DE MORELIA</t>
  </si>
  <si>
    <t>ALCALDIA MUNICIPAL DE FOMEQUE</t>
  </si>
  <si>
    <t>PERSONERIA MUNICIPAL DE SUSA</t>
  </si>
  <si>
    <t>ALCALDIA MUNICIPAL DE SAN GIL</t>
  </si>
  <si>
    <t>ALCALDIA MUNICIPAL DE RECETOR</t>
  </si>
  <si>
    <t>ALCALDIA MUNICIPAL DE LA CAPILLA</t>
  </si>
  <si>
    <t>ALCALDIA MUNICIPAL DE PULI</t>
  </si>
  <si>
    <t>PERSONERIA MUNICIPAL DE SAN CARLOS DE GUAROA</t>
  </si>
  <si>
    <t>ALCALDIA MUNICIPAL DE MUTISCUA</t>
  </si>
  <si>
    <t>ALCALDIA MUNICIPAL DE SANTIAGO (NORTE DE SANTANDER)</t>
  </si>
  <si>
    <t>PERSONERIA MUNICIPAL DE SAN PABLO DE BORBUR</t>
  </si>
  <si>
    <t>ALCALDIA MUNICIPAL DE CHOACHI</t>
  </si>
  <si>
    <t>ALCALDIA MUNICIPAL DE FOSCA</t>
  </si>
  <si>
    <t>ALCALDIA MUNICIPAL DE SUTATAUSA</t>
  </si>
  <si>
    <t>ALCALDIA MUNICIPAL DE SANTA ROSA DE CABAL</t>
  </si>
  <si>
    <t>CONCEJO MUNICIPAL DE SANTA ROSA NORTE</t>
  </si>
  <si>
    <t>ALCALDIA MUNICIPAL DE CHITA</t>
  </si>
  <si>
    <t>ALCALDIA MUNICIPAL DE CHOCONTA</t>
  </si>
  <si>
    <t>ALCALDIA MUNICIPAL DE NATAGA</t>
  </si>
  <si>
    <t>CONCEJO MUNICIPAL DE SAN JUAN DE ARAMA</t>
  </si>
  <si>
    <t>ALCALDIA MUNICIPAL DE FRONTINO</t>
  </si>
  <si>
    <t>PERSONERIA MUNICIPAL DE SOLITA</t>
  </si>
  <si>
    <t>ALCALDIA MUNICIPAL DE SUCRE</t>
  </si>
  <si>
    <t>ALCALDIA MUNICIPAL DE YACOPI</t>
  </si>
  <si>
    <t>ALCALDIA MUNICIPAL DE YAGUARA</t>
  </si>
  <si>
    <t>ALCALDIA MUNICIPAL DE LA LLANADA</t>
  </si>
  <si>
    <t>PERSONERIA MUNICIPAL DE PURIFICACION</t>
  </si>
  <si>
    <t>ALCALDIA MUNICIPAL DE NEIRA</t>
  </si>
  <si>
    <t>CONCEJO MUNICIPAL DE SAN PELAYO</t>
  </si>
  <si>
    <t>PERSONERIA MUNICIPAL DE FUNZA</t>
  </si>
  <si>
    <t>ALCALDIA MUNICIPAL DE LA MESA</t>
  </si>
  <si>
    <t>ALCALDIA MUNICIPAL DE NEMOCON</t>
  </si>
  <si>
    <t>ALCALDIA MUNICIPAL DE SAN JUANITO</t>
  </si>
  <si>
    <t>CONCEJO MUNICIPAL DE SANTA ISABEL</t>
  </si>
  <si>
    <t>ALCALDIA MUNICIPAL DE FUENTE DE ORO</t>
  </si>
  <si>
    <t>ALCALDIA MUNICIPAL DE SANTA ROSA DEL SUR</t>
  </si>
  <si>
    <t>ALCALDIA MUNICIPAL DE FUQUENE</t>
  </si>
  <si>
    <t>ALCALDIA MUNICIPAL DE NILO</t>
  </si>
  <si>
    <t>PERSONERIA MUNICIPAL DE CIENAGA DE ORO</t>
  </si>
  <si>
    <t>ALCALDIA MUNICIPAL DE NIMAIMA</t>
  </si>
  <si>
    <t>CONCEJO MUNICIPAL DE CIENAGA (MAGDALENA)</t>
  </si>
  <si>
    <t>PERSONERIA MUNCIPAL DE SAN MARTIN</t>
  </si>
  <si>
    <t>ALCALDIA MUNICIPAL DE SAN VICENTE DE CHUCURI (SANTANDER)</t>
  </si>
  <si>
    <t>ALCALDIA MUNICIPAL DE BERBEO</t>
  </si>
  <si>
    <t>ALCALDIA MUNICIPAL DE FLORENCIA (CAUCA)</t>
  </si>
  <si>
    <t>CONCEJO MUNICIPAL DE FUSAGASUGA</t>
  </si>
  <si>
    <t>ALCALDIA MUNICIPAL DE TARQUI</t>
  </si>
  <si>
    <t>ALCALDIA MUNICIPAL DE LA SIERRA</t>
  </si>
  <si>
    <t>ALCALDIA MUNICIPAL DE QUEBRADANEGRA</t>
  </si>
  <si>
    <t>ALCALDIA MUNICIPAL DE BETULIA (SANTANDER)</t>
  </si>
  <si>
    <t>ALCALDIA MUNICIPAL DE GACHALA</t>
  </si>
  <si>
    <t>ALCALDIA MUNICIPAL DE TAUSA</t>
  </si>
  <si>
    <t>ALCALDIA MUNICIPAL DE ZAMBRANO</t>
  </si>
  <si>
    <t>ALCALDIA MUNICIPAL DE QUETAME</t>
  </si>
  <si>
    <t>ALCALDIA MUNICIPAL DE QUIMBAYA</t>
  </si>
  <si>
    <t>ALCALDIA MUNICIPAL DE BITUIMA</t>
  </si>
  <si>
    <t>ALCALDIA MUNICIPAL DE GACHANCIPA</t>
  </si>
  <si>
    <t>ALCALDIA MUNICIPAL DE NUQUI</t>
  </si>
  <si>
    <t>ALCALDIA MUNICIPAL DE QUIPILE</t>
  </si>
  <si>
    <t>ALCALDIA MUNICIPAL DE LA PLATA</t>
  </si>
  <si>
    <t>ALCALDIA MUNICIPAL DE LA VEGA (CAUCA)</t>
  </si>
  <si>
    <t>ALCALDIA MUNICIPAL DE GACHETA</t>
  </si>
  <si>
    <t>ALCALDIA MUNICIPAL DE TESALIA</t>
  </si>
  <si>
    <t>ALCALDIA MUNICIPAL DE OBANDO</t>
  </si>
  <si>
    <t>ALCALDIA MUNICIPAL DE TENZA</t>
  </si>
  <si>
    <t>ALCALDIA MUNICIPAL DE LA PEÑA</t>
  </si>
  <si>
    <t>ALCALDIA MUNICIPAL DE ZIPACON</t>
  </si>
  <si>
    <t>ALCALDIA MUNICIPAL DE GARZON</t>
  </si>
  <si>
    <t>ALCALDIA MUNICIPAL DE OCAMONTE</t>
  </si>
  <si>
    <t>ALCALDIA MUNICIPAL DE GARAGOA</t>
  </si>
  <si>
    <t>ALCALDIA MUNICIPAL DE BOJACA</t>
  </si>
  <si>
    <t>ALCALDIA MUNICIPAL DE GAMA</t>
  </si>
  <si>
    <t>ALCALDIA MUNICIPAL DE TELLO</t>
  </si>
  <si>
    <t>DIRECCION GENERAL MARITIMA</t>
  </si>
  <si>
    <t>DEFENSORIA DEL PUEBLO CUNDINAMARCA</t>
  </si>
  <si>
    <t>COMISION NACIONAL DEL SERVICIO CIVIL</t>
  </si>
  <si>
    <t>SUPERINTENDENCIA DE PUERTOS Y TRANSPORTES</t>
  </si>
  <si>
    <t>COMISION NACIONAL DE REGALIAS</t>
  </si>
  <si>
    <t>ANTICIPOS SOBRE CONVENIOS Y ACUERDOS</t>
  </si>
  <si>
    <t>027400000</t>
  </si>
  <si>
    <t xml:space="preserve">UNIVERSIDAD NACIONAL </t>
  </si>
  <si>
    <t>027219000</t>
  </si>
  <si>
    <t xml:space="preserve">UNIVERSIDAD DEL CAUCA </t>
  </si>
  <si>
    <t>027500000</t>
  </si>
  <si>
    <t>UNIVERSIDAD PEDAGOGICA</t>
  </si>
  <si>
    <t>PRESTAMOS AL GOBIERNO GENERAL NACIONAL</t>
  </si>
  <si>
    <t>011500000</t>
  </si>
  <si>
    <t>DTN</t>
  </si>
  <si>
    <t>TRANSFERENCIAS CORRIENTES AL GOBIERNO GENERAL</t>
  </si>
  <si>
    <t>044600000</t>
  </si>
  <si>
    <t>FIDUPREVISORA</t>
  </si>
  <si>
    <t>SISTEMA GENERAL DE PARTICIPACIONES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</si>
  <si>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</si>
  <si>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</si>
  <si>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</si>
  <si>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</si>
  <si>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</si>
  <si>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</si>
  <si>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</si>
  <si>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</si>
  <si>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CHOCO</t>
  </si>
  <si>
    <t>CORDOBA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</si>
  <si>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</si>
  <si>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</si>
  <si>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</si>
  <si>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</si>
  <si>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</si>
  <si>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</si>
  <si>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</si>
  <si>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</si>
  <si>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</si>
  <si>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</si>
  <si>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</si>
  <si>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</si>
  <si>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</si>
  <si>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</si>
  <si>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</si>
  <si>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</si>
  <si>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</si>
  <si>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</si>
  <si>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</si>
  <si>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</si>
  <si>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</si>
  <si>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BARRANQUILLA</t>
  </si>
  <si>
    <t>CARTAGENA</t>
  </si>
  <si>
    <t>SANTA MARTA</t>
  </si>
  <si>
    <t>210105001</t>
  </si>
  <si>
    <t>MEDELLIN</t>
  </si>
  <si>
    <t>218805088</t>
  </si>
  <si>
    <t>BELLO</t>
  </si>
  <si>
    <t>216605266</t>
  </si>
  <si>
    <t>ENVIGADO</t>
  </si>
  <si>
    <t>ITAGUI</t>
  </si>
  <si>
    <t>213705837</t>
  </si>
  <si>
    <t>TURBO</t>
  </si>
  <si>
    <t>215808758</t>
  </si>
  <si>
    <t>SOLEDAD</t>
  </si>
  <si>
    <t>213013430</t>
  </si>
  <si>
    <t>MAGANGUE</t>
  </si>
  <si>
    <t>210115001</t>
  </si>
  <si>
    <t>TUNJA</t>
  </si>
  <si>
    <t>213815238</t>
  </si>
  <si>
    <t>DUITAMA</t>
  </si>
  <si>
    <t>SOGAMOSO</t>
  </si>
  <si>
    <t>210117001</t>
  </si>
  <si>
    <t>MANIZALES</t>
  </si>
  <si>
    <t>210118001</t>
  </si>
  <si>
    <t>FLORENCIA</t>
  </si>
  <si>
    <t>210119001</t>
  </si>
  <si>
    <t>POPAYAN</t>
  </si>
  <si>
    <t>210120001</t>
  </si>
  <si>
    <t>VALLEDUPAR</t>
  </si>
  <si>
    <t>MONTERIA</t>
  </si>
  <si>
    <t>211723417</t>
  </si>
  <si>
    <t>LORICA</t>
  </si>
  <si>
    <t>216023660</t>
  </si>
  <si>
    <t>SAHAGUN</t>
  </si>
  <si>
    <t>219025290</t>
  </si>
  <si>
    <t>FUSAGASUGA</t>
  </si>
  <si>
    <t>210725307</t>
  </si>
  <si>
    <t>GIRARDOT</t>
  </si>
  <si>
    <t>215425754</t>
  </si>
  <si>
    <t>SOACHA</t>
  </si>
  <si>
    <t>210141001</t>
  </si>
  <si>
    <t>NEIVA</t>
  </si>
  <si>
    <t>213044430</t>
  </si>
  <si>
    <t>MAICAO</t>
  </si>
  <si>
    <t>218947189</t>
  </si>
  <si>
    <t>CIENAGA</t>
  </si>
  <si>
    <t>VILLAVICENCIO</t>
  </si>
  <si>
    <t>210152001</t>
  </si>
  <si>
    <t>PASTO</t>
  </si>
  <si>
    <t>TUMACO</t>
  </si>
  <si>
    <t>CUCUTA</t>
  </si>
  <si>
    <t>ARMENIA</t>
  </si>
  <si>
    <t>PEREIRA</t>
  </si>
  <si>
    <t>DOSQUEBRADAS</t>
  </si>
  <si>
    <t>210168001</t>
  </si>
  <si>
    <t>BUCARAMANGA</t>
  </si>
  <si>
    <t>218168081</t>
  </si>
  <si>
    <t>BARRANCABERMEJA</t>
  </si>
  <si>
    <t>217668276</t>
  </si>
  <si>
    <t>FLORIDABLANCA</t>
  </si>
  <si>
    <t>210768307</t>
  </si>
  <si>
    <t>GIRON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</si>
  <si>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</si>
  <si>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</si>
  <si>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</si>
  <si>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</si>
  <si>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</si>
  <si>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</si>
  <si>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</si>
  <si>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</si>
  <si>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ABEJORRAL</t>
  </si>
  <si>
    <t>210405004</t>
  </si>
  <si>
    <t>ABRIAQUI</t>
  </si>
  <si>
    <t>212105021</t>
  </si>
  <si>
    <t>ALEJANDRIA</t>
  </si>
  <si>
    <t>213005030</t>
  </si>
  <si>
    <t>AMAGA</t>
  </si>
  <si>
    <t>AMALFI</t>
  </si>
  <si>
    <t>213405034</t>
  </si>
  <si>
    <t>ANDES</t>
  </si>
  <si>
    <t>ANGELOPOLIS</t>
  </si>
  <si>
    <t>213805038</t>
  </si>
  <si>
    <t>ANGOSTURA</t>
  </si>
  <si>
    <t>ANORI</t>
  </si>
  <si>
    <t>214205042</t>
  </si>
  <si>
    <t>214405044</t>
  </si>
  <si>
    <t>ANZA</t>
  </si>
  <si>
    <t>214505045</t>
  </si>
  <si>
    <t>APARTADO</t>
  </si>
  <si>
    <t>ARBOLETES</t>
  </si>
  <si>
    <t>215505055</t>
  </si>
  <si>
    <t>ARGELIA</t>
  </si>
  <si>
    <t>215905059</t>
  </si>
  <si>
    <t>217905079</t>
  </si>
  <si>
    <t>BARBOSA</t>
  </si>
  <si>
    <t>218605086</t>
  </si>
  <si>
    <t>BELMIRA</t>
  </si>
  <si>
    <t>219105091</t>
  </si>
  <si>
    <t>BETANIA</t>
  </si>
  <si>
    <t>219305093</t>
  </si>
  <si>
    <t>BETULIA</t>
  </si>
  <si>
    <t>210105101</t>
  </si>
  <si>
    <t>210615106</t>
  </si>
  <si>
    <t>BRICENO</t>
  </si>
  <si>
    <t>211305113</t>
  </si>
  <si>
    <t>BURITICA</t>
  </si>
  <si>
    <t>212005120</t>
  </si>
  <si>
    <t>CACERES</t>
  </si>
  <si>
    <t>212505125</t>
  </si>
  <si>
    <t>CAICEDO</t>
  </si>
  <si>
    <t>212905129</t>
  </si>
  <si>
    <t>213405134</t>
  </si>
  <si>
    <t>CAMPAMENTO</t>
  </si>
  <si>
    <t>213805138</t>
  </si>
  <si>
    <t>CAÑASGORDAS</t>
  </si>
  <si>
    <t>214205142</t>
  </si>
  <si>
    <t>CARACOLI</t>
  </si>
  <si>
    <t>214505145</t>
  </si>
  <si>
    <t>CARAMANTA</t>
  </si>
  <si>
    <t>214705147</t>
  </si>
  <si>
    <t>CAREPA</t>
  </si>
  <si>
    <t>214805148</t>
  </si>
  <si>
    <t>CARMEN DE VIBORAL</t>
  </si>
  <si>
    <t>CAROLINA</t>
  </si>
  <si>
    <t>CAUCASIA</t>
  </si>
  <si>
    <t>217205172</t>
  </si>
  <si>
    <t>CHIGORODO</t>
  </si>
  <si>
    <t>219005190</t>
  </si>
  <si>
    <t>CISNEROS</t>
  </si>
  <si>
    <t>219705197</t>
  </si>
  <si>
    <t>COCORNA</t>
  </si>
  <si>
    <t>210605206</t>
  </si>
  <si>
    <t>CONCEPCION</t>
  </si>
  <si>
    <t>210905209</t>
  </si>
  <si>
    <t>CONCORDIA</t>
  </si>
  <si>
    <t>211205212</t>
  </si>
  <si>
    <t>COPACABANA</t>
  </si>
  <si>
    <t>213405234</t>
  </si>
  <si>
    <t>DABEIBA</t>
  </si>
  <si>
    <t>213705237</t>
  </si>
  <si>
    <t>DON MATIAS</t>
  </si>
  <si>
    <t>EBEJICO</t>
  </si>
  <si>
    <t>215005250</t>
  </si>
  <si>
    <t>EL BAGRE</t>
  </si>
  <si>
    <t>216405264</t>
  </si>
  <si>
    <t>ENTRERRIOS</t>
  </si>
  <si>
    <t>218205282</t>
  </si>
  <si>
    <t>FREDONIA</t>
  </si>
  <si>
    <t>218405284</t>
  </si>
  <si>
    <t>FRONTINO</t>
  </si>
  <si>
    <t>210605306</t>
  </si>
  <si>
    <t>GIRALDO</t>
  </si>
  <si>
    <t>210805308</t>
  </si>
  <si>
    <t>GIRARDOTA</t>
  </si>
  <si>
    <t>GOMEZ PLATA</t>
  </si>
  <si>
    <t>211305313</t>
  </si>
  <si>
    <t>GRANADA</t>
  </si>
  <si>
    <t>211505315</t>
  </si>
  <si>
    <t>GUADALUPE</t>
  </si>
  <si>
    <t>211805318</t>
  </si>
  <si>
    <t>GUARNE</t>
  </si>
  <si>
    <t>212105321</t>
  </si>
  <si>
    <t>GUATAPE</t>
  </si>
  <si>
    <t>214705347</t>
  </si>
  <si>
    <t>HELICONIA</t>
  </si>
  <si>
    <t>215305353</t>
  </si>
  <si>
    <t>HISPANIA</t>
  </si>
  <si>
    <t>216105361</t>
  </si>
  <si>
    <t>ITUANGO</t>
  </si>
  <si>
    <t>216405364</t>
  </si>
  <si>
    <t>JARDIN</t>
  </si>
  <si>
    <t>216805368</t>
  </si>
  <si>
    <t>JERICO</t>
  </si>
  <si>
    <t>LA CEJA</t>
  </si>
  <si>
    <t>218005380</t>
  </si>
  <si>
    <t>LA ESTRELLA</t>
  </si>
  <si>
    <t>219005390</t>
  </si>
  <si>
    <t>LA PINTADA</t>
  </si>
  <si>
    <t>210005400</t>
  </si>
  <si>
    <t>LA UNION</t>
  </si>
  <si>
    <t>211105411</t>
  </si>
  <si>
    <t>LIBORINA</t>
  </si>
  <si>
    <t>212505425</t>
  </si>
  <si>
    <t>MACEO</t>
  </si>
  <si>
    <t>214005440</t>
  </si>
  <si>
    <t>MARINILLA</t>
  </si>
  <si>
    <t>216705467</t>
  </si>
  <si>
    <t>MONTEBELLO</t>
  </si>
  <si>
    <t>217505475</t>
  </si>
  <si>
    <t>MURINDO</t>
  </si>
  <si>
    <t>218005480</t>
  </si>
  <si>
    <t>MUTATA</t>
  </si>
  <si>
    <t>218305483</t>
  </si>
  <si>
    <t>NARINO</t>
  </si>
  <si>
    <t>219005490</t>
  </si>
  <si>
    <t>NECOCLI</t>
  </si>
  <si>
    <t>219505495</t>
  </si>
  <si>
    <t>NECHI</t>
  </si>
  <si>
    <t>210105501</t>
  </si>
  <si>
    <t>OLAYA</t>
  </si>
  <si>
    <t>214105541</t>
  </si>
  <si>
    <t>PENOL</t>
  </si>
  <si>
    <t>214305543</t>
  </si>
  <si>
    <t>PEQUE</t>
  </si>
  <si>
    <t>217605576</t>
  </si>
  <si>
    <t>PUEBLORRICO</t>
  </si>
  <si>
    <t>217905579</t>
  </si>
  <si>
    <t>PUERTO BERRIO</t>
  </si>
  <si>
    <t>PUERTO NARE</t>
  </si>
  <si>
    <t>219105591</t>
  </si>
  <si>
    <t>PUERTO TRIUNFO</t>
  </si>
  <si>
    <t>210405604</t>
  </si>
  <si>
    <t>REMEDIOS</t>
  </si>
  <si>
    <t>210705607</t>
  </si>
  <si>
    <t>RETIRO</t>
  </si>
  <si>
    <t>211505615</t>
  </si>
  <si>
    <t>RIONEGRO</t>
  </si>
  <si>
    <t>212805628</t>
  </si>
  <si>
    <t>SABANALARGA</t>
  </si>
  <si>
    <t>213105631</t>
  </si>
  <si>
    <t>SABANETA</t>
  </si>
  <si>
    <t>214205642</t>
  </si>
  <si>
    <t>SALGAR</t>
  </si>
  <si>
    <t>214905649</t>
  </si>
  <si>
    <t>SAN CARLOS</t>
  </si>
  <si>
    <t>215205652</t>
  </si>
  <si>
    <t>SAN FRANCISCO</t>
  </si>
  <si>
    <t>215605656</t>
  </si>
  <si>
    <t>SAN JERONIMO</t>
  </si>
  <si>
    <t>215805658</t>
  </si>
  <si>
    <t>SN JOSE D LA MONTANA</t>
  </si>
  <si>
    <t>215905659</t>
  </si>
  <si>
    <t>SAN JUAN URABA</t>
  </si>
  <si>
    <t>216005660</t>
  </si>
  <si>
    <t>SAN LUIS</t>
  </si>
  <si>
    <t>216405664</t>
  </si>
  <si>
    <t>SAN PEDRO</t>
  </si>
  <si>
    <t>216505665</t>
  </si>
  <si>
    <t>SAN PEDRO URABA</t>
  </si>
  <si>
    <t>216705667</t>
  </si>
  <si>
    <t>SAN RAFAEL</t>
  </si>
  <si>
    <t>217005670</t>
  </si>
  <si>
    <t>SAN ROQUE</t>
  </si>
  <si>
    <t>217405674</t>
  </si>
  <si>
    <t>SAN VICENTE</t>
  </si>
  <si>
    <t>217905679</t>
  </si>
  <si>
    <t>SANTA BARBARA</t>
  </si>
  <si>
    <t>218605686</t>
  </si>
  <si>
    <t>SANTA ROSA DE OSOS</t>
  </si>
  <si>
    <t>219005690</t>
  </si>
  <si>
    <t>SANTO DOMINGO</t>
  </si>
  <si>
    <t>219705697</t>
  </si>
  <si>
    <t>EL SANTUARIO</t>
  </si>
  <si>
    <t>213605736</t>
  </si>
  <si>
    <t>SEGOVIA</t>
  </si>
  <si>
    <t>215605756</t>
  </si>
  <si>
    <t>SONSON</t>
  </si>
  <si>
    <t>216105761</t>
  </si>
  <si>
    <t>SOPETRAN</t>
  </si>
  <si>
    <t>218905789</t>
  </si>
  <si>
    <t>TAMESIS</t>
  </si>
  <si>
    <t>TARAZA</t>
  </si>
  <si>
    <t>219205792</t>
  </si>
  <si>
    <t>TARSO</t>
  </si>
  <si>
    <t>210905809</t>
  </si>
  <si>
    <t>TITIRIBI</t>
  </si>
  <si>
    <t>211905819</t>
  </si>
  <si>
    <t>TOLEDO</t>
  </si>
  <si>
    <t>214205842</t>
  </si>
  <si>
    <t>URAMITA</t>
  </si>
  <si>
    <t>214705847</t>
  </si>
  <si>
    <t>URRAO</t>
  </si>
  <si>
    <t>215405854</t>
  </si>
  <si>
    <t>VALDIVIA</t>
  </si>
  <si>
    <t>215605856</t>
  </si>
  <si>
    <t>VALPARAISO</t>
  </si>
  <si>
    <t>215805858</t>
  </si>
  <si>
    <t>VEGACHI</t>
  </si>
  <si>
    <t>216105861</t>
  </si>
  <si>
    <t>VENECIA</t>
  </si>
  <si>
    <t>217305873</t>
  </si>
  <si>
    <t>VIGIA DEL FUERTE</t>
  </si>
  <si>
    <t>218505885</t>
  </si>
  <si>
    <t>YALI</t>
  </si>
  <si>
    <t>218705887</t>
  </si>
  <si>
    <t>YARUMAL</t>
  </si>
  <si>
    <t>219005890</t>
  </si>
  <si>
    <t>YOLOMBO</t>
  </si>
  <si>
    <t>219305893</t>
  </si>
  <si>
    <t>YONDO</t>
  </si>
  <si>
    <t>219505895</t>
  </si>
  <si>
    <t>ZARAGOZA</t>
  </si>
  <si>
    <t>217808078</t>
  </si>
  <si>
    <t>BARANOA</t>
  </si>
  <si>
    <t>213708137</t>
  </si>
  <si>
    <t>CAMPO DE LA CRUZ</t>
  </si>
  <si>
    <t>214108141</t>
  </si>
  <si>
    <t>CANDELARIA</t>
  </si>
  <si>
    <t>219608296</t>
  </si>
  <si>
    <t>GALAPA</t>
  </si>
  <si>
    <t>217208372</t>
  </si>
  <si>
    <t>JUAN DE ACOSTA</t>
  </si>
  <si>
    <t>212108421</t>
  </si>
  <si>
    <t>LURUACO</t>
  </si>
  <si>
    <t>213308433</t>
  </si>
  <si>
    <t>MALAMBO</t>
  </si>
  <si>
    <t>213608436</t>
  </si>
  <si>
    <t>MANATI</t>
  </si>
  <si>
    <t>212008520</t>
  </si>
  <si>
    <t>PALMAR D VARELA</t>
  </si>
  <si>
    <t>214908549</t>
  </si>
  <si>
    <t>PIOJO</t>
  </si>
  <si>
    <t>215808558</t>
  </si>
  <si>
    <t>POLONUEVO</t>
  </si>
  <si>
    <t>216008560</t>
  </si>
  <si>
    <t>PONEDERA</t>
  </si>
  <si>
    <t>217308573</t>
  </si>
  <si>
    <t>PUERTO COLOMBIA</t>
  </si>
  <si>
    <t>210608606</t>
  </si>
  <si>
    <t>REPELON</t>
  </si>
  <si>
    <t>213408634</t>
  </si>
  <si>
    <t>SABANAGRANDE</t>
  </si>
  <si>
    <t>213808638</t>
  </si>
  <si>
    <t>217508675</t>
  </si>
  <si>
    <t>SANTA LUCIA</t>
  </si>
  <si>
    <t>218508685</t>
  </si>
  <si>
    <t>SANTO TOMAS</t>
  </si>
  <si>
    <t>217008770</t>
  </si>
  <si>
    <t>SUAN</t>
  </si>
  <si>
    <t>213208832</t>
  </si>
  <si>
    <t>TUBARA</t>
  </si>
  <si>
    <t>214908849</t>
  </si>
  <si>
    <t>USIACURI</t>
  </si>
  <si>
    <t>210613006</t>
  </si>
  <si>
    <t>ACHI</t>
  </si>
  <si>
    <t>ALTOS DEL ROSARIO</t>
  </si>
  <si>
    <t>214213042</t>
  </si>
  <si>
    <t>ARENAL</t>
  </si>
  <si>
    <t>215213052</t>
  </si>
  <si>
    <t>ARJONA</t>
  </si>
  <si>
    <t>216213062</t>
  </si>
  <si>
    <t>ARROYO HONDO</t>
  </si>
  <si>
    <t>BARRANCO DE LOBA</t>
  </si>
  <si>
    <t>CALAMAR</t>
  </si>
  <si>
    <t>216013160</t>
  </si>
  <si>
    <t>CANTAGALLO</t>
  </si>
  <si>
    <t>218813188</t>
  </si>
  <si>
    <t>CICUCO</t>
  </si>
  <si>
    <t>211213212</t>
  </si>
  <si>
    <t>212213222</t>
  </si>
  <si>
    <t>CLEMENCIA</t>
  </si>
  <si>
    <t>214413244</t>
  </si>
  <si>
    <t>EL CARMEN DE BOLIVAR</t>
  </si>
  <si>
    <t>214813248</t>
  </si>
  <si>
    <t>EL GUAMO</t>
  </si>
  <si>
    <t>216813268</t>
  </si>
  <si>
    <t>EL PEÑON</t>
  </si>
  <si>
    <t>210013300</t>
  </si>
  <si>
    <t>HATILLO DE LOBA</t>
  </si>
  <si>
    <t>213313433</t>
  </si>
  <si>
    <t>MAHATES</t>
  </si>
  <si>
    <t>214013440</t>
  </si>
  <si>
    <t>MARGARITA</t>
  </si>
  <si>
    <t>214213442</t>
  </si>
  <si>
    <t>MARIA LA BAJA</t>
  </si>
  <si>
    <t>MONTECRISTO</t>
  </si>
  <si>
    <t>MOMPOS</t>
  </si>
  <si>
    <t>217313473</t>
  </si>
  <si>
    <t>MORALES</t>
  </si>
  <si>
    <t>214913549</t>
  </si>
  <si>
    <t>PINILLOS</t>
  </si>
  <si>
    <t>218013580</t>
  </si>
  <si>
    <t>REGIDOR</t>
  </si>
  <si>
    <t>RIO VIEJO</t>
  </si>
  <si>
    <t>212013620</t>
  </si>
  <si>
    <t>SAN CRISTOBAL</t>
  </si>
  <si>
    <t>214713647</t>
  </si>
  <si>
    <t>SAN ESTANISLAO</t>
  </si>
  <si>
    <t>215013650</t>
  </si>
  <si>
    <t>SAN FERNANDO</t>
  </si>
  <si>
    <t>215413654</t>
  </si>
  <si>
    <t>SAN JACINTO</t>
  </si>
  <si>
    <t>SAN JACINTO DEL CAUCA</t>
  </si>
  <si>
    <t>S.JUAN NEPOMUCENO</t>
  </si>
  <si>
    <t>S.MARTIN DE LOBA</t>
  </si>
  <si>
    <t>217013670</t>
  </si>
  <si>
    <t>SAN PABLO</t>
  </si>
  <si>
    <t>217313673</t>
  </si>
  <si>
    <t>SANTA CATALINA</t>
  </si>
  <si>
    <t>SANTA ROSA</t>
  </si>
  <si>
    <t>SANTA ROSA SUR</t>
  </si>
  <si>
    <t>214413744</t>
  </si>
  <si>
    <t>SIMITI</t>
  </si>
  <si>
    <t>216013760</t>
  </si>
  <si>
    <t>SOPLAVIENTO</t>
  </si>
  <si>
    <t>218013780</t>
  </si>
  <si>
    <t>TALAIGUA NUEVO</t>
  </si>
  <si>
    <t>211013810</t>
  </si>
  <si>
    <t>TIQUISIO</t>
  </si>
  <si>
    <t>213613836</t>
  </si>
  <si>
    <t>TURBACO</t>
  </si>
  <si>
    <t>213813838</t>
  </si>
  <si>
    <t>TURBANA</t>
  </si>
  <si>
    <t>217313873</t>
  </si>
  <si>
    <t>VILLANUEVA</t>
  </si>
  <si>
    <t>219413894</t>
  </si>
  <si>
    <t>ZAMBRANO</t>
  </si>
  <si>
    <t>212215022</t>
  </si>
  <si>
    <t>ALMEIDA</t>
  </si>
  <si>
    <t>214715047</t>
  </si>
  <si>
    <t>AQUITANIA</t>
  </si>
  <si>
    <t>215115051</t>
  </si>
  <si>
    <t>ARCABUCO</t>
  </si>
  <si>
    <t>218715087</t>
  </si>
  <si>
    <t>BELEN</t>
  </si>
  <si>
    <t>219015090</t>
  </si>
  <si>
    <t>BERBEO</t>
  </si>
  <si>
    <t>219215092</t>
  </si>
  <si>
    <t>BETEITIVA</t>
  </si>
  <si>
    <t>219715097</t>
  </si>
  <si>
    <t>BOAVITA</t>
  </si>
  <si>
    <t>210415104</t>
  </si>
  <si>
    <t>210705107</t>
  </si>
  <si>
    <t>BRICEÑO</t>
  </si>
  <si>
    <t>210915109</t>
  </si>
  <si>
    <t>BUENAVISTA</t>
  </si>
  <si>
    <t>BUSBANZA</t>
  </si>
  <si>
    <t>213115131</t>
  </si>
  <si>
    <t>213515135</t>
  </si>
  <si>
    <t>CAMPOHERMOSO</t>
  </si>
  <si>
    <t>216215162</t>
  </si>
  <si>
    <t>CERINZA</t>
  </si>
  <si>
    <t>217215172</t>
  </si>
  <si>
    <t>CHINAVITA</t>
  </si>
  <si>
    <t>217615176</t>
  </si>
  <si>
    <t>CHIQUINQUIRA</t>
  </si>
  <si>
    <t>218015180</t>
  </si>
  <si>
    <t>CHISCAS</t>
  </si>
  <si>
    <t>218315183</t>
  </si>
  <si>
    <t>CHITA</t>
  </si>
  <si>
    <t>218515185</t>
  </si>
  <si>
    <t>CHITARAQUE</t>
  </si>
  <si>
    <t>218715187</t>
  </si>
  <si>
    <t>CHIVATA</t>
  </si>
  <si>
    <t>210415204</t>
  </si>
  <si>
    <t>COMBITA</t>
  </si>
  <si>
    <t>211215212</t>
  </si>
  <si>
    <t>COPER</t>
  </si>
  <si>
    <t>211515215</t>
  </si>
  <si>
    <t>CORRALES</t>
  </si>
  <si>
    <t>211815218</t>
  </si>
  <si>
    <t>COVARACHIA</t>
  </si>
  <si>
    <t>212315223</t>
  </si>
  <si>
    <t>CUBARA</t>
  </si>
  <si>
    <t>212415224</t>
  </si>
  <si>
    <t>CUCAITA</t>
  </si>
  <si>
    <t>212615226</t>
  </si>
  <si>
    <t>CUITIVA</t>
  </si>
  <si>
    <t>CHIQUIZA</t>
  </si>
  <si>
    <t>213615236</t>
  </si>
  <si>
    <t>CHIVOR</t>
  </si>
  <si>
    <t>214415244</t>
  </si>
  <si>
    <t>EL COCUY</t>
  </si>
  <si>
    <t>214815248</t>
  </si>
  <si>
    <t>EL ESPINO</t>
  </si>
  <si>
    <t>217215272</t>
  </si>
  <si>
    <t>FIRAVITOBA</t>
  </si>
  <si>
    <t>217615276</t>
  </si>
  <si>
    <t>FLORESTA</t>
  </si>
  <si>
    <t>219315293</t>
  </si>
  <si>
    <t>GACHANTIVA</t>
  </si>
  <si>
    <t>219615296</t>
  </si>
  <si>
    <t>GAMEZA</t>
  </si>
  <si>
    <t>219915299</t>
  </si>
  <si>
    <t>GARAGOA</t>
  </si>
  <si>
    <t>211715317</t>
  </si>
  <si>
    <t>GUACAMAYAS</t>
  </si>
  <si>
    <t>212215322</t>
  </si>
  <si>
    <t>GUATEQUE</t>
  </si>
  <si>
    <t>212515325</t>
  </si>
  <si>
    <t>GUAYATA</t>
  </si>
  <si>
    <t>GUICAN</t>
  </si>
  <si>
    <t>216215362</t>
  </si>
  <si>
    <t>IZA</t>
  </si>
  <si>
    <t>216715367</t>
  </si>
  <si>
    <t>JENESANO</t>
  </si>
  <si>
    <t>216815368</t>
  </si>
  <si>
    <t>217715377</t>
  </si>
  <si>
    <t>LABRANZAGRANDE</t>
  </si>
  <si>
    <t>218015380</t>
  </si>
  <si>
    <t>LA CAPILLA</t>
  </si>
  <si>
    <t>210115401</t>
  </si>
  <si>
    <t>LA VICTORIA</t>
  </si>
  <si>
    <t>210315403</t>
  </si>
  <si>
    <t>LA UVITA</t>
  </si>
  <si>
    <t>210715407</t>
  </si>
  <si>
    <t>VILLA DE LEYVA</t>
  </si>
  <si>
    <t>212515425</t>
  </si>
  <si>
    <t>MACANAL</t>
  </si>
  <si>
    <t>214215442</t>
  </si>
  <si>
    <t>MARIPI</t>
  </si>
  <si>
    <t>215515455</t>
  </si>
  <si>
    <t>MIRAFLORES</t>
  </si>
  <si>
    <t>216415464</t>
  </si>
  <si>
    <t>MONGUA</t>
  </si>
  <si>
    <t>216615466</t>
  </si>
  <si>
    <t>MONGUI</t>
  </si>
  <si>
    <t>216915469</t>
  </si>
  <si>
    <t>MONIQUIRA</t>
  </si>
  <si>
    <t>MOTAVITA</t>
  </si>
  <si>
    <t>218015480</t>
  </si>
  <si>
    <t>MUZO</t>
  </si>
  <si>
    <t>219115491</t>
  </si>
  <si>
    <t>NOBSA</t>
  </si>
  <si>
    <t>219415494</t>
  </si>
  <si>
    <t>NUEVO COLON</t>
  </si>
  <si>
    <t>210015500</t>
  </si>
  <si>
    <t>OICATA</t>
  </si>
  <si>
    <t>210715507</t>
  </si>
  <si>
    <t>OTANCHE</t>
  </si>
  <si>
    <t>211115511</t>
  </si>
  <si>
    <t>PACHAVITA</t>
  </si>
  <si>
    <t>PAEZ</t>
  </si>
  <si>
    <t>211615516</t>
  </si>
  <si>
    <t>PAIPA</t>
  </si>
  <si>
    <t>211815518</t>
  </si>
  <si>
    <t>PAJARITO</t>
  </si>
  <si>
    <t>PANQUEBA</t>
  </si>
  <si>
    <t>213115531</t>
  </si>
  <si>
    <t>PAUNA</t>
  </si>
  <si>
    <t>213315533</t>
  </si>
  <si>
    <t>PAYA</t>
  </si>
  <si>
    <t>213715537</t>
  </si>
  <si>
    <t>PAZ DE RIO</t>
  </si>
  <si>
    <t>214215542</t>
  </si>
  <si>
    <t>PESCA</t>
  </si>
  <si>
    <t>215015550</t>
  </si>
  <si>
    <t>PISVA</t>
  </si>
  <si>
    <t>217215572</t>
  </si>
  <si>
    <t>PUERTO BOYACA</t>
  </si>
  <si>
    <t>QUIPAMA</t>
  </si>
  <si>
    <t>219915599</t>
  </si>
  <si>
    <t>RAMIRIQUI</t>
  </si>
  <si>
    <t>RAQUIRA</t>
  </si>
  <si>
    <t>212115621</t>
  </si>
  <si>
    <t>RONDON</t>
  </si>
  <si>
    <t>213215632</t>
  </si>
  <si>
    <t>SABOYA</t>
  </si>
  <si>
    <t>213815638</t>
  </si>
  <si>
    <t>SACHICA</t>
  </si>
  <si>
    <t>214615646</t>
  </si>
  <si>
    <t>SAMACA</t>
  </si>
  <si>
    <t>216015660</t>
  </si>
  <si>
    <t>SAN EDUARDO</t>
  </si>
  <si>
    <t>216415664</t>
  </si>
  <si>
    <t>SAN JOSE DE PARE</t>
  </si>
  <si>
    <t>216715667</t>
  </si>
  <si>
    <t>SAN LUIS DE GACENO</t>
  </si>
  <si>
    <t>217315673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</si>
  <si>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</si>
  <si>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</si>
  <si>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</si>
  <si>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</si>
  <si>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</si>
  <si>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</si>
  <si>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</si>
  <si>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</si>
  <si>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</si>
  <si>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</si>
  <si>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</si>
  <si>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</si>
  <si>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</si>
  <si>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</si>
  <si>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</si>
  <si>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</si>
  <si>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</si>
  <si>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</si>
  <si>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</si>
  <si>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</si>
  <si>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</si>
  <si>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</si>
  <si>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</si>
  <si>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</si>
  <si>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</si>
  <si>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</si>
  <si>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</si>
  <si>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</si>
  <si>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</si>
  <si>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</si>
  <si>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</si>
  <si>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</si>
  <si>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</si>
  <si>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</si>
  <si>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</si>
  <si>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</si>
  <si>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</si>
  <si>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</si>
  <si>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211317013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</si>
  <si>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</si>
  <si>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</si>
  <si>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</si>
  <si>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</si>
  <si>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</si>
  <si>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</si>
  <si>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</si>
  <si>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</si>
  <si>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</si>
  <si>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</si>
  <si>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</si>
  <si>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</si>
  <si>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</si>
  <si>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</si>
  <si>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</si>
  <si>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</si>
  <si>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</si>
  <si>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</si>
  <si>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</si>
  <si>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</si>
  <si>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</si>
  <si>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</si>
  <si>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</si>
  <si>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</si>
  <si>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</si>
  <si>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</si>
  <si>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</si>
  <si>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</si>
  <si>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210518205</t>
  </si>
  <si>
    <t>CURILLO</t>
  </si>
  <si>
    <t>214718247</t>
  </si>
  <si>
    <t>EL DONCELLO</t>
  </si>
  <si>
    <t>215618256</t>
  </si>
  <si>
    <t>EL PAUJIL</t>
  </si>
  <si>
    <t>211018410</t>
  </si>
  <si>
    <t>LA MONTANITA</t>
  </si>
  <si>
    <t>216018460</t>
  </si>
  <si>
    <t>MILAN</t>
  </si>
  <si>
    <t>217918479</t>
  </si>
  <si>
    <t>MORELIA</t>
  </si>
  <si>
    <t>219218592</t>
  </si>
  <si>
    <t>PUERTO RICO</t>
  </si>
  <si>
    <t>SAN JOSE FRAGUA</t>
  </si>
  <si>
    <t>SAN VICENTE CAGUAN</t>
  </si>
  <si>
    <t>SOLANO</t>
  </si>
  <si>
    <t>SOLITA</t>
  </si>
  <si>
    <t>212219022</t>
  </si>
  <si>
    <t>ALMAGUER</t>
  </si>
  <si>
    <t>215019050</t>
  </si>
  <si>
    <t>217519075</t>
  </si>
  <si>
    <t>BALBOA</t>
  </si>
  <si>
    <t>210019100</t>
  </si>
  <si>
    <t>211019110</t>
  </si>
  <si>
    <t>BUENOS AIRES</t>
  </si>
  <si>
    <t>213019130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</si>
  <si>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</si>
  <si>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</si>
  <si>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</si>
  <si>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</si>
  <si>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</si>
  <si>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</si>
  <si>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</si>
  <si>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</si>
  <si>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</si>
  <si>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</si>
  <si>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</si>
  <si>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</si>
  <si>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</si>
  <si>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</si>
  <si>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</si>
  <si>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</si>
  <si>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</si>
  <si>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</si>
  <si>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</si>
  <si>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</si>
  <si>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</si>
  <si>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</si>
  <si>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</si>
  <si>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</si>
  <si>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</si>
  <si>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</si>
  <si>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</si>
  <si>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</si>
  <si>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</si>
  <si>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</si>
  <si>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211120011</t>
  </si>
  <si>
    <t>AGUACHICA</t>
  </si>
  <si>
    <t>211320013</t>
  </si>
  <si>
    <t>AGUSTIN CODAZZI</t>
  </si>
  <si>
    <t>213220032</t>
  </si>
  <si>
    <t>ASTREA</t>
  </si>
  <si>
    <t>214520045</t>
  </si>
  <si>
    <t>BECERRIL</t>
  </si>
  <si>
    <t>216020060</t>
  </si>
  <si>
    <t>BOSCONIA</t>
  </si>
  <si>
    <t>217520175</t>
  </si>
  <si>
    <t>CHIMICHAGUA</t>
  </si>
  <si>
    <t>CHIRIGUANA</t>
  </si>
  <si>
    <t>212820228</t>
  </si>
  <si>
    <t>CURUMANI</t>
  </si>
  <si>
    <t>213820238</t>
  </si>
  <si>
    <t>EL COPEY</t>
  </si>
  <si>
    <t>215020250</t>
  </si>
  <si>
    <t>EL PASO</t>
  </si>
  <si>
    <t>219520295</t>
  </si>
  <si>
    <t>GAMARRA</t>
  </si>
  <si>
    <t>211020310</t>
  </si>
  <si>
    <t>GONZALEZ</t>
  </si>
  <si>
    <t>218320383</t>
  </si>
  <si>
    <t>LA GLORIA</t>
  </si>
  <si>
    <t>210020400</t>
  </si>
  <si>
    <t>LA JAGUA DE IBIRICO</t>
  </si>
  <si>
    <t>214320443</t>
  </si>
  <si>
    <t>MANAURE</t>
  </si>
  <si>
    <t>211720517</t>
  </si>
  <si>
    <t>PAILITAS</t>
  </si>
  <si>
    <t>215020550</t>
  </si>
  <si>
    <t>PELAYA</t>
  </si>
  <si>
    <t>217020570</t>
  </si>
  <si>
    <t>PUEBLO BELLO</t>
  </si>
  <si>
    <t>211420614</t>
  </si>
  <si>
    <t>RIO DE ORO</t>
  </si>
  <si>
    <t>212120621</t>
  </si>
  <si>
    <t>LA PAZ</t>
  </si>
  <si>
    <t>211020710</t>
  </si>
  <si>
    <t>SAN ALBERTO</t>
  </si>
  <si>
    <t>215020750</t>
  </si>
  <si>
    <t>SAN DIEGO</t>
  </si>
  <si>
    <t>217020770</t>
  </si>
  <si>
    <t>SAN MARTIN</t>
  </si>
  <si>
    <t>218720787</t>
  </si>
  <si>
    <t>TAMALAMEQUE</t>
  </si>
  <si>
    <t>216823068</t>
  </si>
  <si>
    <t>AYAPEL</t>
  </si>
  <si>
    <t>217923079</t>
  </si>
  <si>
    <t>CANALETE</t>
  </si>
  <si>
    <t>216223162</t>
  </si>
  <si>
    <t>CERETE</t>
  </si>
  <si>
    <t>216823168</t>
  </si>
  <si>
    <t>CHIMA</t>
  </si>
  <si>
    <t>218223182</t>
  </si>
  <si>
    <t>CHINU</t>
  </si>
  <si>
    <t>CIENAGA DE ORO</t>
  </si>
  <si>
    <t>210023300</t>
  </si>
  <si>
    <t>COTORRA</t>
  </si>
  <si>
    <t>215023350</t>
  </si>
  <si>
    <t>LA APARTADA</t>
  </si>
  <si>
    <t>211923419</t>
  </si>
  <si>
    <t>LOS CORDOBAS</t>
  </si>
  <si>
    <t>216423464</t>
  </si>
  <si>
    <t>MOMIL</t>
  </si>
  <si>
    <t>216623466</t>
  </si>
  <si>
    <t>MONTELIBANO</t>
  </si>
  <si>
    <t>210023500</t>
  </si>
  <si>
    <t>MOÑITOS</t>
  </si>
  <si>
    <t>215523555</t>
  </si>
  <si>
    <t>PLANETA RICA</t>
  </si>
  <si>
    <t>PUEBLO NUEVO</t>
  </si>
  <si>
    <t>PUERTO ESCONDIDO</t>
  </si>
  <si>
    <t>PUERTO LIBERTADOR</t>
  </si>
  <si>
    <t>PURISIMA</t>
  </si>
  <si>
    <t>217023670</t>
  </si>
  <si>
    <t>SAN ANDRES D SOTAVEN</t>
  </si>
  <si>
    <t>217223672</t>
  </si>
  <si>
    <t>SAN ANTERO</t>
  </si>
  <si>
    <t>217523675</t>
  </si>
  <si>
    <t>SAN BERNARDO V.</t>
  </si>
  <si>
    <t>217823678</t>
  </si>
  <si>
    <t>218623686</t>
  </si>
  <si>
    <t>SAN PELAYO</t>
  </si>
  <si>
    <t>210723807</t>
  </si>
  <si>
    <t>TIERRALTA</t>
  </si>
  <si>
    <t>215523855</t>
  </si>
  <si>
    <t>VALENCIA</t>
  </si>
  <si>
    <t>210125001</t>
  </si>
  <si>
    <t>AGUA DE DIOS</t>
  </si>
  <si>
    <t>211925019</t>
  </si>
  <si>
    <t>ALBAN</t>
  </si>
  <si>
    <t>213525035</t>
  </si>
  <si>
    <t>ANAPOIMA</t>
  </si>
  <si>
    <t>214025040</t>
  </si>
  <si>
    <t>ANOLAIMA</t>
  </si>
  <si>
    <t>215325053</t>
  </si>
  <si>
    <t>ARBELAEZ</t>
  </si>
  <si>
    <t>218625086</t>
  </si>
  <si>
    <t>BELTRAN</t>
  </si>
  <si>
    <t>219525095</t>
  </si>
  <si>
    <t>BITUIMA</t>
  </si>
  <si>
    <t>219925099</t>
  </si>
  <si>
    <t>BOJACA</t>
  </si>
  <si>
    <t>212025120</t>
  </si>
  <si>
    <t>CABRERA</t>
  </si>
  <si>
    <t>212325123</t>
  </si>
  <si>
    <t>CACHIPAY</t>
  </si>
  <si>
    <t>212625126</t>
  </si>
  <si>
    <t>CAJICA</t>
  </si>
  <si>
    <t>214825148</t>
  </si>
  <si>
    <t>CAPARRAPI</t>
  </si>
  <si>
    <t>215125151</t>
  </si>
  <si>
    <t>CAQUEZA</t>
  </si>
  <si>
    <t>215425154</t>
  </si>
  <si>
    <t>CARMEN DE CARUPA</t>
  </si>
  <si>
    <t>216825168</t>
  </si>
  <si>
    <t>CHAGUANI</t>
  </si>
  <si>
    <t>217525175</t>
  </si>
  <si>
    <t>CHIA</t>
  </si>
  <si>
    <t>217825178</t>
  </si>
  <si>
    <t>CHIPAQUE</t>
  </si>
  <si>
    <t>218125181</t>
  </si>
  <si>
    <t>CHOACHI</t>
  </si>
  <si>
    <t>218325183</t>
  </si>
  <si>
    <t>CHOCONTA</t>
  </si>
  <si>
    <t>210025200</t>
  </si>
  <si>
    <t>COGUA</t>
  </si>
  <si>
    <t>211425214</t>
  </si>
  <si>
    <t>COTA</t>
  </si>
  <si>
    <t>212425224</t>
  </si>
  <si>
    <t>CUCUNUBA</t>
  </si>
  <si>
    <t>214525245</t>
  </si>
  <si>
    <t>EL COLEGIO</t>
  </si>
  <si>
    <t>216025260</t>
  </si>
  <si>
    <t>EL ROSAL</t>
  </si>
  <si>
    <t>216925269</t>
  </si>
  <si>
    <t>FACATATIVA</t>
  </si>
  <si>
    <t>217925279</t>
  </si>
  <si>
    <t>FOMEQUE</t>
  </si>
  <si>
    <t>FOSCA</t>
  </si>
  <si>
    <t>218625286</t>
  </si>
  <si>
    <t>FUNZA</t>
  </si>
  <si>
    <t>218825288</t>
  </si>
  <si>
    <t>FUQUENE</t>
  </si>
  <si>
    <t>219325293</t>
  </si>
  <si>
    <t>GACHALA</t>
  </si>
  <si>
    <t>GACHANCIPA</t>
  </si>
  <si>
    <t>219725297</t>
  </si>
  <si>
    <t>GACHETA</t>
  </si>
  <si>
    <t>219925299</t>
  </si>
  <si>
    <t>GAMA</t>
  </si>
  <si>
    <t>211225312</t>
  </si>
  <si>
    <t>211725317</t>
  </si>
  <si>
    <t>GUACHETA</t>
  </si>
  <si>
    <t>212025320</t>
  </si>
  <si>
    <t>GUADUAS</t>
  </si>
  <si>
    <t>212225322</t>
  </si>
  <si>
    <t>GUASCA</t>
  </si>
  <si>
    <t>212425324</t>
  </si>
  <si>
    <t>GUATAQUI</t>
  </si>
  <si>
    <t>212625326</t>
  </si>
  <si>
    <t>GUATAVITA</t>
  </si>
  <si>
    <t>GUAYABAL DE SIQUIMA</t>
  </si>
  <si>
    <t>213525335</t>
  </si>
  <si>
    <t>GUAYABETAL</t>
  </si>
  <si>
    <t>213925339</t>
  </si>
  <si>
    <t>GUTIERREZ</t>
  </si>
  <si>
    <t>216825368</t>
  </si>
  <si>
    <t>JERUSALEN</t>
  </si>
  <si>
    <t>217225372</t>
  </si>
  <si>
    <t>JUNIN</t>
  </si>
  <si>
    <t>217725377</t>
  </si>
  <si>
    <t>LA CALERA</t>
  </si>
  <si>
    <t>218625386</t>
  </si>
  <si>
    <t>LA MESA</t>
  </si>
  <si>
    <t>219425394</t>
  </si>
  <si>
    <t>LA PALMA</t>
  </si>
  <si>
    <t>219825398</t>
  </si>
  <si>
    <t>LA PEÑA</t>
  </si>
  <si>
    <t>210225402</t>
  </si>
  <si>
    <t>210725407</t>
  </si>
  <si>
    <t>LENGUAZAQUE</t>
  </si>
  <si>
    <t>212625426</t>
  </si>
  <si>
    <t>MACHETA</t>
  </si>
  <si>
    <t>213025430</t>
  </si>
  <si>
    <t>MADRID</t>
  </si>
  <si>
    <t>213625436</t>
  </si>
  <si>
    <t>MANTA</t>
  </si>
  <si>
    <t>213825438</t>
  </si>
  <si>
    <t>MEDINA</t>
  </si>
  <si>
    <t>217325473</t>
  </si>
  <si>
    <t>MOSQUERA</t>
  </si>
  <si>
    <t>218625486</t>
  </si>
  <si>
    <t>NEMOCON</t>
  </si>
  <si>
    <t>218825488</t>
  </si>
  <si>
    <t>NILO</t>
  </si>
  <si>
    <t>218925489</t>
  </si>
  <si>
    <t>NIMAIMA</t>
  </si>
  <si>
    <t>219125491</t>
  </si>
  <si>
    <t>NOCAIMA</t>
  </si>
  <si>
    <t>OSPINA PEREZ</t>
  </si>
  <si>
    <t>211325513</t>
  </si>
  <si>
    <t>PACHO</t>
  </si>
  <si>
    <t>211825518</t>
  </si>
  <si>
    <t>PAIME</t>
  </si>
  <si>
    <t>212425524</t>
  </si>
  <si>
    <t>PANDI</t>
  </si>
  <si>
    <t>213025530</t>
  </si>
  <si>
    <t>PARATEBUENO</t>
  </si>
  <si>
    <t>213525535</t>
  </si>
  <si>
    <t>PASCA</t>
  </si>
  <si>
    <t>217225572</t>
  </si>
  <si>
    <t>PUERTO SALGAR</t>
  </si>
  <si>
    <t>218025580</t>
  </si>
  <si>
    <t>PULI</t>
  </si>
  <si>
    <t>219225592</t>
  </si>
  <si>
    <t>QUEBRADANEGRA</t>
  </si>
  <si>
    <t>219425594</t>
  </si>
  <si>
    <t>QUETAME</t>
  </si>
  <si>
    <t>QUIPILE</t>
  </si>
  <si>
    <t>219925599</t>
  </si>
  <si>
    <t>APULO</t>
  </si>
  <si>
    <t>211225612</t>
  </si>
  <si>
    <t>RICAURTE</t>
  </si>
  <si>
    <t>214525645</t>
  </si>
  <si>
    <t>SAN ANTONIO D TEQUEN</t>
  </si>
  <si>
    <t>214925649</t>
  </si>
  <si>
    <t>SAN BERNARDO</t>
  </si>
  <si>
    <t>215325653</t>
  </si>
  <si>
    <t>SAN CAYETANO</t>
  </si>
  <si>
    <t>215825658</t>
  </si>
  <si>
    <t>216225662</t>
  </si>
  <si>
    <t>SAN JUAN DE RIOSECO</t>
  </si>
  <si>
    <t>211825718</t>
  </si>
  <si>
    <t>SASAIMA</t>
  </si>
  <si>
    <t>213625736</t>
  </si>
  <si>
    <t>SESQUILE</t>
  </si>
  <si>
    <t>214025740</t>
  </si>
  <si>
    <t>SIBATE</t>
  </si>
  <si>
    <t>214325743</t>
  </si>
  <si>
    <t>SILVANIA</t>
  </si>
  <si>
    <t>214525745</t>
  </si>
  <si>
    <t>SIMIJACA</t>
  </si>
  <si>
    <t>215825758</t>
  </si>
  <si>
    <t>SOPO</t>
  </si>
  <si>
    <t>216925769</t>
  </si>
  <si>
    <t>SUBACHOQUE</t>
  </si>
  <si>
    <t>217225772</t>
  </si>
  <si>
    <t>SUESCA</t>
  </si>
  <si>
    <t>217725777</t>
  </si>
  <si>
    <t>SUPATA</t>
  </si>
  <si>
    <t>217925779</t>
  </si>
  <si>
    <t>SUSA</t>
  </si>
  <si>
    <t>218125781</t>
  </si>
  <si>
    <t>SUTATAUSA</t>
  </si>
  <si>
    <t>218525785</t>
  </si>
  <si>
    <t>TABIO</t>
  </si>
  <si>
    <t>219325793</t>
  </si>
  <si>
    <t>TAUSA</t>
  </si>
  <si>
    <t>219725797</t>
  </si>
  <si>
    <t>TENA</t>
  </si>
  <si>
    <t>219925799</t>
  </si>
  <si>
    <t>TENJO</t>
  </si>
  <si>
    <t>210525805</t>
  </si>
  <si>
    <t>TIBACUY</t>
  </si>
  <si>
    <t>210725807</t>
  </si>
  <si>
    <t>TIBIRITA</t>
  </si>
  <si>
    <t>211525815</t>
  </si>
  <si>
    <t>TOCAIMA</t>
  </si>
  <si>
    <t>211725817</t>
  </si>
  <si>
    <t>TOCANCIPA</t>
  </si>
  <si>
    <t>212325823</t>
  </si>
  <si>
    <t>TOPAIPI</t>
  </si>
  <si>
    <t>213925839</t>
  </si>
  <si>
    <t>UBALA</t>
  </si>
  <si>
    <t>214125841</t>
  </si>
  <si>
    <t>UBAQUE</t>
  </si>
  <si>
    <t>214325843</t>
  </si>
  <si>
    <t>UBATE</t>
  </si>
  <si>
    <t>214525845</t>
  </si>
  <si>
    <t>UNE</t>
  </si>
  <si>
    <t>215125851</t>
  </si>
  <si>
    <t>UTICA</t>
  </si>
  <si>
    <t>216225862</t>
  </si>
  <si>
    <t>VERGARA</t>
  </si>
  <si>
    <t>216725867</t>
  </si>
  <si>
    <t>VIANI</t>
  </si>
  <si>
    <t>217125871</t>
  </si>
  <si>
    <t>VILLAGOMEZ</t>
  </si>
  <si>
    <t>217325873</t>
  </si>
  <si>
    <t>VILLAPINZON</t>
  </si>
  <si>
    <t>217525875</t>
  </si>
  <si>
    <t>VILLETA</t>
  </si>
  <si>
    <t>217825878</t>
  </si>
  <si>
    <t>VIOTA</t>
  </si>
  <si>
    <t>218525885</t>
  </si>
  <si>
    <t>YACOPI</t>
  </si>
  <si>
    <t>219825898</t>
  </si>
  <si>
    <t>ZIPACON</t>
  </si>
  <si>
    <t>219925899</t>
  </si>
  <si>
    <t>ZIPAQUIRA</t>
  </si>
  <si>
    <t>QUIBDO</t>
  </si>
  <si>
    <t>210627006</t>
  </si>
  <si>
    <t>ACANDI</t>
  </si>
  <si>
    <t>212527025</t>
  </si>
  <si>
    <t>ALTO BAUDO</t>
  </si>
  <si>
    <t>ATRATO</t>
  </si>
  <si>
    <t>BAGADO</t>
  </si>
  <si>
    <t>217527075</t>
  </si>
  <si>
    <t>BAHIA SOLANO</t>
  </si>
  <si>
    <t>217727077</t>
  </si>
  <si>
    <t>BAJO BAUDO-PIZA</t>
  </si>
  <si>
    <t>219927099</t>
  </si>
  <si>
    <t>BOJAYA</t>
  </si>
  <si>
    <t>213527135</t>
  </si>
  <si>
    <t>CANTON DEL SAN PABLO</t>
  </si>
  <si>
    <t>215027150</t>
  </si>
  <si>
    <t>CARMEN DEL DARIEN</t>
  </si>
  <si>
    <t>216027160</t>
  </si>
  <si>
    <t>CERTEGUI</t>
  </si>
  <si>
    <t>210527205</t>
  </si>
  <si>
    <t>CONDOTO</t>
  </si>
  <si>
    <t>214527245</t>
  </si>
  <si>
    <t>EL CARMEN</t>
  </si>
  <si>
    <t>215027250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</si>
  <si>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</si>
  <si>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</si>
  <si>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</si>
  <si>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</si>
  <si>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</si>
  <si>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</si>
  <si>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</si>
  <si>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</si>
  <si>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</si>
  <si>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</si>
  <si>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</si>
  <si>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</si>
  <si>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</si>
  <si>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</si>
  <si>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218727787</t>
  </si>
  <si>
    <t>TADO</t>
  </si>
  <si>
    <t>UNGUIA</t>
  </si>
  <si>
    <t>UNION PANAMERICANA</t>
  </si>
  <si>
    <t>210641006</t>
  </si>
  <si>
    <t>ACEVEDO</t>
  </si>
  <si>
    <t>211341013</t>
  </si>
  <si>
    <t>AGRADO</t>
  </si>
  <si>
    <t>211641016</t>
  </si>
  <si>
    <t>AIPE</t>
  </si>
  <si>
    <t>212041020</t>
  </si>
  <si>
    <t>ALGECIRAS</t>
  </si>
  <si>
    <t>212641026</t>
  </si>
  <si>
    <t>ALTAMIRA</t>
  </si>
  <si>
    <t>217841078</t>
  </si>
  <si>
    <t>BARAYA</t>
  </si>
  <si>
    <t>213241132</t>
  </si>
  <si>
    <t>CAMPOALEGRE</t>
  </si>
  <si>
    <t>210641206</t>
  </si>
  <si>
    <t>COLOMBIA</t>
  </si>
  <si>
    <t>ELIAS</t>
  </si>
  <si>
    <t>219841298</t>
  </si>
  <si>
    <t>GARZON</t>
  </si>
  <si>
    <t>210641306</t>
  </si>
  <si>
    <t>GIGANTE</t>
  </si>
  <si>
    <t>211941319</t>
  </si>
  <si>
    <t>214941349</t>
  </si>
  <si>
    <t>HOBO</t>
  </si>
  <si>
    <t>215741357</t>
  </si>
  <si>
    <t>IQUIRA</t>
  </si>
  <si>
    <t>215941359</t>
  </si>
  <si>
    <t>ISNOS</t>
  </si>
  <si>
    <t>217841378</t>
  </si>
  <si>
    <t>LA ARGENTINA</t>
  </si>
  <si>
    <t>219641396</t>
  </si>
  <si>
    <t>LA PLATA</t>
  </si>
  <si>
    <t>NATAGA</t>
  </si>
  <si>
    <t>210341503</t>
  </si>
  <si>
    <t>OPORAPA</t>
  </si>
  <si>
    <t>211841518</t>
  </si>
  <si>
    <t>PAICOL</t>
  </si>
  <si>
    <t>212441524</t>
  </si>
  <si>
    <t>PALERMO</t>
  </si>
  <si>
    <t>213041530</t>
  </si>
  <si>
    <t>PITAL</t>
  </si>
  <si>
    <t>215141551</t>
  </si>
  <si>
    <t>PITALITO</t>
  </si>
  <si>
    <t>211541615</t>
  </si>
  <si>
    <t>RIVERA</t>
  </si>
  <si>
    <t>216041660</t>
  </si>
  <si>
    <t>SALADOBLANCO</t>
  </si>
  <si>
    <t>216841668</t>
  </si>
  <si>
    <t>SAN AGUSTIN</t>
  </si>
  <si>
    <t>217641676</t>
  </si>
  <si>
    <t>217041770</t>
  </si>
  <si>
    <t>SUAZA</t>
  </si>
  <si>
    <t>TARQUI</t>
  </si>
  <si>
    <t>219741797</t>
  </si>
  <si>
    <t>TESALIA</t>
  </si>
  <si>
    <t>219941799</t>
  </si>
  <si>
    <t>TELLO</t>
  </si>
  <si>
    <t>210141801</t>
  </si>
  <si>
    <t>TERUEL</t>
  </si>
  <si>
    <t>210741807</t>
  </si>
  <si>
    <t>TIMANA</t>
  </si>
  <si>
    <t>217241872</t>
  </si>
  <si>
    <t>VILLA VIEJA</t>
  </si>
  <si>
    <t>218541885</t>
  </si>
  <si>
    <t>YAGUARA</t>
  </si>
  <si>
    <t>210144001</t>
  </si>
  <si>
    <t>RIOHACHA</t>
  </si>
  <si>
    <t>213544035</t>
  </si>
  <si>
    <t>217844078</t>
  </si>
  <si>
    <t>BARRANCAS</t>
  </si>
  <si>
    <t>219044090</t>
  </si>
  <si>
    <t>DIBULLA</t>
  </si>
  <si>
    <t>219844098</t>
  </si>
  <si>
    <t>DISTRACCION</t>
  </si>
  <si>
    <t>211044110</t>
  </si>
  <si>
    <t>EL MOLINO</t>
  </si>
  <si>
    <t>217944279</t>
  </si>
  <si>
    <t>FONSECA</t>
  </si>
  <si>
    <t>217844378</t>
  </si>
  <si>
    <t>HATONUEVO</t>
  </si>
  <si>
    <t>212044420</t>
  </si>
  <si>
    <t>LA JAGUA DEL MPILAR</t>
  </si>
  <si>
    <t>216044560</t>
  </si>
  <si>
    <t>215044650</t>
  </si>
  <si>
    <t>SAN JUAN DEL C.</t>
  </si>
  <si>
    <t>214744847</t>
  </si>
  <si>
    <t>URIBIA</t>
  </si>
  <si>
    <t>215544855</t>
  </si>
  <si>
    <t>URUMITA</t>
  </si>
  <si>
    <t>217444874</t>
  </si>
  <si>
    <t>213047030</t>
  </si>
  <si>
    <t>ALGARROBO</t>
  </si>
  <si>
    <t>215347053</t>
  </si>
  <si>
    <t>ARACATACA</t>
  </si>
  <si>
    <t>215847058</t>
  </si>
  <si>
    <t>ARIGUANI</t>
  </si>
  <si>
    <t>216147161</t>
  </si>
  <si>
    <t>CERRO S.ANTONIO</t>
  </si>
  <si>
    <t>217047170</t>
  </si>
  <si>
    <t>CHIBOLO</t>
  </si>
  <si>
    <t>210547205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</si>
  <si>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</si>
  <si>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</si>
  <si>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</si>
  <si>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</si>
  <si>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</si>
  <si>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</si>
  <si>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</si>
  <si>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</si>
  <si>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</si>
  <si>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</si>
  <si>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</si>
  <si>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</si>
  <si>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</si>
  <si>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</si>
  <si>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</si>
  <si>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</si>
  <si>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</si>
  <si>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</si>
  <si>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</si>
  <si>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</si>
  <si>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</si>
  <si>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</si>
  <si>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</si>
  <si>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</si>
  <si>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</si>
  <si>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</si>
  <si>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</si>
  <si>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</si>
  <si>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</si>
  <si>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</si>
  <si>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</si>
  <si>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</si>
  <si>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</si>
  <si>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</si>
  <si>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</si>
  <si>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</si>
  <si>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</si>
  <si>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</si>
  <si>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</si>
  <si>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</si>
  <si>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</si>
  <si>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</si>
  <si>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</si>
  <si>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</si>
  <si>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</si>
  <si>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</si>
  <si>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</si>
  <si>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</si>
  <si>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</si>
  <si>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</si>
  <si>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</si>
  <si>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</si>
  <si>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</si>
  <si>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</si>
  <si>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</si>
  <si>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</si>
  <si>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</si>
  <si>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</si>
  <si>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</si>
  <si>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</si>
  <si>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</si>
  <si>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</si>
  <si>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</si>
  <si>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</si>
  <si>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</si>
  <si>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</si>
  <si>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</si>
  <si>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</si>
  <si>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</si>
  <si>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</si>
  <si>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</si>
  <si>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</si>
  <si>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</si>
  <si>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</si>
  <si>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</si>
  <si>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</si>
  <si>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</si>
  <si>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</si>
  <si>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</si>
  <si>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</si>
  <si>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</si>
  <si>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</si>
  <si>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</si>
  <si>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</si>
  <si>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</si>
  <si>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</si>
  <si>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</si>
  <si>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</si>
  <si>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</si>
  <si>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</si>
  <si>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</si>
  <si>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</si>
  <si>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</si>
  <si>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</si>
  <si>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</si>
  <si>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</si>
  <si>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</si>
  <si>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</si>
  <si>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</si>
  <si>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</si>
  <si>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</si>
  <si>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</si>
  <si>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</si>
  <si>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</si>
  <si>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</si>
  <si>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</si>
  <si>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</si>
  <si>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</si>
  <si>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</si>
  <si>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</si>
  <si>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</si>
  <si>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</si>
  <si>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</si>
  <si>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</si>
  <si>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</si>
  <si>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</si>
  <si>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</si>
  <si>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</si>
  <si>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</si>
  <si>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</si>
  <si>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</si>
  <si>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</si>
  <si>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</si>
  <si>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</si>
  <si>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</si>
  <si>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</si>
  <si>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</si>
  <si>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</si>
  <si>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</si>
  <si>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</si>
  <si>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</si>
  <si>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</si>
  <si>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</si>
  <si>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</si>
  <si>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</si>
  <si>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</si>
  <si>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</si>
  <si>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</si>
  <si>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</si>
  <si>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</si>
  <si>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</si>
  <si>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</si>
  <si>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</si>
  <si>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</si>
  <si>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</si>
  <si>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</si>
  <si>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</si>
  <si>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</si>
  <si>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</si>
  <si>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</si>
  <si>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</si>
  <si>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211368013</t>
  </si>
  <si>
    <t>AGUADA</t>
  </si>
  <si>
    <t>212068020</t>
  </si>
  <si>
    <t>215168051</t>
  </si>
  <si>
    <t>ARATOCA</t>
  </si>
  <si>
    <t>217768077</t>
  </si>
  <si>
    <t>217968079</t>
  </si>
  <si>
    <t>BARICHARA</t>
  </si>
  <si>
    <t>219268092</t>
  </si>
  <si>
    <t>212168121</t>
  </si>
  <si>
    <t>213268132</t>
  </si>
  <si>
    <t>CALIFORNIA</t>
  </si>
  <si>
    <t>214768147</t>
  </si>
  <si>
    <t>CAPITANEJO</t>
  </si>
  <si>
    <t>CARCASI</t>
  </si>
  <si>
    <t>CEPITA</t>
  </si>
  <si>
    <t>CERRITO</t>
  </si>
  <si>
    <t>216768167</t>
  </si>
  <si>
    <t>CHARALA</t>
  </si>
  <si>
    <t>216968169</t>
  </si>
  <si>
    <t>CHARTA</t>
  </si>
  <si>
    <t>217668176</t>
  </si>
  <si>
    <t>217968179</t>
  </si>
  <si>
    <t>CHIPATA</t>
  </si>
  <si>
    <t>219068190</t>
  </si>
  <si>
    <t>CIMITARRA</t>
  </si>
  <si>
    <t>210768207</t>
  </si>
  <si>
    <t>210968209</t>
  </si>
  <si>
    <t>CONFINES</t>
  </si>
  <si>
    <t>211168211</t>
  </si>
  <si>
    <t>CONTRATACION</t>
  </si>
  <si>
    <t>211768217</t>
  </si>
  <si>
    <t>COROMORO</t>
  </si>
  <si>
    <t>CURITI</t>
  </si>
  <si>
    <t>213568235</t>
  </si>
  <si>
    <t>214568245</t>
  </si>
  <si>
    <t>GUACAMAYO</t>
  </si>
  <si>
    <t>215068250</t>
  </si>
  <si>
    <t>EL PENON</t>
  </si>
  <si>
    <t>215568255</t>
  </si>
  <si>
    <t>EL PLAYON</t>
  </si>
  <si>
    <t>216468264</t>
  </si>
  <si>
    <t>ENCINO</t>
  </si>
  <si>
    <t>216668266</t>
  </si>
  <si>
    <t>ENCISO</t>
  </si>
  <si>
    <t>217168271</t>
  </si>
  <si>
    <t>FLORIAN</t>
  </si>
  <si>
    <t>219668296</t>
  </si>
  <si>
    <t>GALAN</t>
  </si>
  <si>
    <t>219868298</t>
  </si>
  <si>
    <t>GAMBITA</t>
  </si>
  <si>
    <t>211868318</t>
  </si>
  <si>
    <t>GUACA</t>
  </si>
  <si>
    <t>212068320</t>
  </si>
  <si>
    <t>GUAPOTA</t>
  </si>
  <si>
    <t>212468324</t>
  </si>
  <si>
    <t>GUAVATA</t>
  </si>
  <si>
    <t>GUEPSA</t>
  </si>
  <si>
    <t>214468344</t>
  </si>
  <si>
    <t>HATO</t>
  </si>
  <si>
    <t>216868368</t>
  </si>
  <si>
    <t>JESUS MARIA</t>
  </si>
  <si>
    <t>217068370</t>
  </si>
  <si>
    <t>JORDAN</t>
  </si>
  <si>
    <t>217768377</t>
  </si>
  <si>
    <t>LA BELLEZA</t>
  </si>
  <si>
    <t>LANDAZURI</t>
  </si>
  <si>
    <t>210668406</t>
  </si>
  <si>
    <t>LEBRIJA</t>
  </si>
  <si>
    <t>211868418</t>
  </si>
  <si>
    <t>LOS SANTOS</t>
  </si>
  <si>
    <t>212568425</t>
  </si>
  <si>
    <t>MACARAVITA</t>
  </si>
  <si>
    <t>213268432</t>
  </si>
  <si>
    <t>MALAGA</t>
  </si>
  <si>
    <t>214468444</t>
  </si>
  <si>
    <t>MATANZA</t>
  </si>
  <si>
    <t>216468464</t>
  </si>
  <si>
    <t>MOGOTES</t>
  </si>
  <si>
    <t>216868468</t>
  </si>
  <si>
    <t>MOLAGAVITA</t>
  </si>
  <si>
    <t>219868498</t>
  </si>
  <si>
    <t>OCAMONTE</t>
  </si>
  <si>
    <t>210068500</t>
  </si>
  <si>
    <t>OIBA</t>
  </si>
  <si>
    <t>210268502</t>
  </si>
  <si>
    <t>ONZAGA</t>
  </si>
  <si>
    <t>212268522</t>
  </si>
  <si>
    <t>PALMAR</t>
  </si>
  <si>
    <t>212468524</t>
  </si>
  <si>
    <t>PALMAS DEL SOCORRO</t>
  </si>
  <si>
    <t>213368533</t>
  </si>
  <si>
    <t>PARAMO</t>
  </si>
  <si>
    <t>214768547</t>
  </si>
  <si>
    <t>PIEDECUESTA</t>
  </si>
  <si>
    <t>214968549</t>
  </si>
  <si>
    <t>PINCHOTE</t>
  </si>
  <si>
    <t>217268572</t>
  </si>
  <si>
    <t>PUENTE NACIONAL</t>
  </si>
  <si>
    <t>217368573</t>
  </si>
  <si>
    <t>PUERTO PARRA</t>
  </si>
  <si>
    <t>217568575</t>
  </si>
  <si>
    <t>PUERTO WILCHES</t>
  </si>
  <si>
    <t>211568615</t>
  </si>
  <si>
    <t>215568655</t>
  </si>
  <si>
    <t>SABANA DE TORRES</t>
  </si>
  <si>
    <t>216968669</t>
  </si>
  <si>
    <t>217368673</t>
  </si>
  <si>
    <t>SAN BENITO</t>
  </si>
  <si>
    <t>217968679</t>
  </si>
  <si>
    <t>SAN GIL</t>
  </si>
  <si>
    <t>218268682</t>
  </si>
  <si>
    <t>SAN JOAQUIN</t>
  </si>
  <si>
    <t>218468684</t>
  </si>
  <si>
    <t>SAN JOSE MIRANDA</t>
  </si>
  <si>
    <t>218668686</t>
  </si>
  <si>
    <t>SAN MIGUEL</t>
  </si>
  <si>
    <t xml:space="preserve">SAN VICENTE DE CHUCURI </t>
  </si>
  <si>
    <t>210568705</t>
  </si>
  <si>
    <t>212068720</t>
  </si>
  <si>
    <t>SANTA HELENA</t>
  </si>
  <si>
    <t>214568745</t>
  </si>
  <si>
    <t>SIMACOTA</t>
  </si>
  <si>
    <t>215568755</t>
  </si>
  <si>
    <t>SOCORRO</t>
  </si>
  <si>
    <t>217068770</t>
  </si>
  <si>
    <t>SUAITA</t>
  </si>
  <si>
    <t>217368773</t>
  </si>
  <si>
    <t>218068780</t>
  </si>
  <si>
    <t>SURATA</t>
  </si>
  <si>
    <t>212068820</t>
  </si>
  <si>
    <t>TONA</t>
  </si>
  <si>
    <t>VALLE SAN JOSE</t>
  </si>
  <si>
    <t>216168861</t>
  </si>
  <si>
    <t>VELEZ</t>
  </si>
  <si>
    <t>216768867</t>
  </si>
  <si>
    <t>VETAS</t>
  </si>
  <si>
    <t>217268872</t>
  </si>
  <si>
    <t>219568895</t>
  </si>
  <si>
    <t>ZAPATOCA</t>
  </si>
  <si>
    <t>CAIMITO</t>
  </si>
  <si>
    <t>COLOSO</t>
  </si>
  <si>
    <t>COROZAL</t>
  </si>
  <si>
    <t>089970221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</si>
  <si>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</si>
  <si>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</si>
  <si>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</si>
  <si>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</si>
  <si>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</si>
  <si>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</si>
  <si>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</si>
  <si>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</si>
  <si>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</si>
  <si>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</si>
  <si>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</si>
  <si>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</si>
  <si>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</si>
  <si>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</si>
  <si>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</si>
  <si>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</si>
  <si>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</si>
  <si>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</si>
  <si>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</si>
  <si>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</si>
  <si>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</si>
  <si>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</si>
  <si>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</si>
  <si>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</si>
  <si>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</si>
  <si>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</si>
  <si>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</si>
  <si>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</si>
  <si>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</si>
  <si>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</si>
  <si>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</si>
  <si>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</si>
  <si>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</si>
  <si>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</si>
  <si>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</si>
  <si>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</si>
  <si>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</si>
  <si>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</si>
  <si>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</si>
  <si>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</si>
  <si>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</si>
  <si>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</si>
  <si>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</si>
  <si>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</si>
  <si>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</si>
  <si>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</si>
  <si>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</si>
  <si>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</si>
  <si>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</si>
  <si>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</si>
  <si>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</si>
  <si>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</si>
  <si>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</si>
  <si>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</si>
  <si>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</si>
  <si>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</si>
  <si>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</si>
  <si>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</si>
  <si>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</si>
  <si>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</si>
  <si>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</si>
  <si>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</si>
  <si>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</si>
  <si>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</si>
  <si>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</si>
  <si>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</si>
  <si>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</si>
  <si>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</si>
  <si>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</si>
  <si>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</si>
  <si>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</si>
  <si>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</si>
  <si>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</si>
  <si>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</si>
  <si>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</si>
  <si>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</si>
  <si>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</si>
  <si>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</si>
  <si>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</si>
  <si>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</si>
  <si>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</si>
  <si>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</si>
  <si>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</si>
  <si>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</si>
  <si>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</si>
  <si>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</si>
  <si>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</si>
  <si>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</si>
  <si>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</si>
  <si>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</si>
  <si>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</si>
  <si>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</si>
  <si>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</si>
  <si>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</si>
  <si>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</si>
  <si>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</si>
  <si>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</si>
  <si>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</si>
  <si>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</si>
  <si>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</si>
  <si>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</si>
  <si>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</si>
  <si>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</si>
  <si>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</si>
  <si>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</si>
  <si>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</si>
  <si>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</si>
  <si>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</si>
  <si>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</si>
  <si>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</si>
  <si>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</si>
  <si>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</si>
  <si>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</si>
  <si>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</si>
  <si>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</si>
  <si>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</si>
  <si>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</si>
  <si>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</si>
  <si>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</si>
  <si>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</si>
  <si>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</si>
  <si>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</si>
  <si>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 xml:space="preserve">SAN MIGUEL </t>
  </si>
  <si>
    <t>VALLE GUAMUEZ</t>
  </si>
  <si>
    <t>VILLAGARZON</t>
  </si>
  <si>
    <t>214705647</t>
  </si>
  <si>
    <t>PROVIDENCIA Y SANTA CATALINA</t>
  </si>
  <si>
    <t>LETICIA</t>
  </si>
  <si>
    <t>PUERTO NARINO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</si>
  <si>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</si>
  <si>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</si>
  <si>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</si>
  <si>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</si>
  <si>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</si>
  <si>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</si>
  <si>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</si>
  <si>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</si>
  <si>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</si>
  <si>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</si>
  <si>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APORTES A SEGURIDAD SOCIAL EN SALUD PUBLICA</t>
  </si>
  <si>
    <t>ISS</t>
  </si>
  <si>
    <t>CAJANAL</t>
  </si>
  <si>
    <t>CAPRECOM</t>
  </si>
  <si>
    <t>SALARIOS Y PAGOS LABORALES</t>
  </si>
  <si>
    <t>DIAN</t>
  </si>
  <si>
    <t>HONORARIOS</t>
  </si>
  <si>
    <t>RETENCION EN LA FUENTE POR SERVICIOS</t>
  </si>
  <si>
    <t>RETENCION EN LA FUENTE POR COMPRAS</t>
  </si>
  <si>
    <t>IMPUESTO A LAS VENTAS RETENIDO POR CONSIGNAR</t>
  </si>
  <si>
    <t xml:space="preserve">IMPUESTO DE TIMBRE </t>
  </si>
  <si>
    <t>RETENCION ICA POR COMPRAS</t>
  </si>
  <si>
    <t xml:space="preserve">SECRETARIA DE HACIENDA </t>
  </si>
  <si>
    <t>IMPUESTOS CONTRIBUCIONES Y TASAS POR PAGAR</t>
  </si>
  <si>
    <t>024700000</t>
  </si>
  <si>
    <t>ICFES</t>
  </si>
  <si>
    <t>GASTOS DE PERSONAL</t>
  </si>
  <si>
    <t>GASTOS GENERALES</t>
  </si>
  <si>
    <t>PROGRAMAS DE INVERSION</t>
  </si>
  <si>
    <t>CESANTIAS</t>
  </si>
  <si>
    <t>041300000</t>
  </si>
  <si>
    <t>FONDO NAL DEL AHORRO</t>
  </si>
  <si>
    <t>APORTES SEGURIDAD SOCIAL EN SALUD</t>
  </si>
  <si>
    <t>FIDU LA PREVISORA SA</t>
  </si>
  <si>
    <t>096300000</t>
  </si>
  <si>
    <t>FOSYGA</t>
  </si>
  <si>
    <t>070400000</t>
  </si>
  <si>
    <t xml:space="preserve">UNISALUD </t>
  </si>
  <si>
    <t>RIESGOS PROFESIONALES</t>
  </si>
  <si>
    <t>I.S.S</t>
  </si>
  <si>
    <t>COTIZACIONES A ENTIDADES ADMINISTRADORAS DEL REGIMEN</t>
  </si>
  <si>
    <t>070200000</t>
  </si>
  <si>
    <t>FIDUC LA PREVISORA SA</t>
  </si>
  <si>
    <t>APORTES AL ICBF</t>
  </si>
  <si>
    <t>023900000</t>
  </si>
  <si>
    <t>ICBF</t>
  </si>
  <si>
    <t>APORTES AL SENA</t>
  </si>
  <si>
    <t>026800000</t>
  </si>
  <si>
    <t>SENA</t>
  </si>
  <si>
    <t>APORTES ESAP</t>
  </si>
  <si>
    <t>022000000</t>
  </si>
  <si>
    <t>ESAP</t>
  </si>
  <si>
    <t>SERVICIOS PÚBLICOS</t>
  </si>
  <si>
    <t>ETB</t>
  </si>
  <si>
    <t>031800000</t>
  </si>
  <si>
    <t>TELECOM</t>
  </si>
  <si>
    <t>EMPRESA DE ACUED Y ALCANT BOGOTA</t>
  </si>
  <si>
    <t>COMUNICACIONES Y TRANSPORTE</t>
  </si>
  <si>
    <t>030100000</t>
  </si>
  <si>
    <t>ADMINIST POSTAL NACIONAL</t>
  </si>
  <si>
    <t xml:space="preserve">IMPUESTOS SOBRE VEHICULOS AUTO OTORES </t>
  </si>
  <si>
    <t xml:space="preserve">GOBERNACION DEL TOLIMA </t>
  </si>
  <si>
    <t>IMPUESTO SOBRE VEHICULOS AUTOMOTORES</t>
  </si>
  <si>
    <t xml:space="preserve">GOBERNACION DE CUNDINAMARCA </t>
  </si>
  <si>
    <t xml:space="preserve">GRAVAMEN A LOS MOVIMIENTOS FINANCIEROS </t>
  </si>
  <si>
    <t xml:space="preserve">DIAN </t>
  </si>
  <si>
    <t>NACIONAL ADMINISTRACION CENTRAL</t>
  </si>
  <si>
    <t>071500000</t>
  </si>
  <si>
    <t>FONDO DE PREST SOCIALES DEL MAGIST</t>
  </si>
  <si>
    <t>CORRIENTES -NAL ADMON DESCENTRALIZADA ENTES AUTONOMOS</t>
  </si>
  <si>
    <t xml:space="preserve">UNIVERSIDAD MILITAR NVA GRANADA </t>
  </si>
  <si>
    <t>028450000</t>
  </si>
  <si>
    <t>UNIVERSIDAD LLANOS</t>
  </si>
  <si>
    <t>UNIVERSIDAD  PACIFICO</t>
  </si>
  <si>
    <t>024666000</t>
  </si>
  <si>
    <t>UNIVERSIDAD TECNOL. PEREIRA</t>
  </si>
  <si>
    <t>026141000</t>
  </si>
  <si>
    <t>UNIVERSIDAD SURCOLOMBIANA  NEIVA</t>
  </si>
  <si>
    <t>026318000</t>
  </si>
  <si>
    <t>UNIVERSIDAD  AMAZONIA</t>
  </si>
  <si>
    <t>027017000</t>
  </si>
  <si>
    <t>UNIVERSIDAD DE CALDAS</t>
  </si>
  <si>
    <t>UNIVERSIDAD DEL CAUCA</t>
  </si>
  <si>
    <t>UNIVERSIDAD PEDAGOGICA NAL</t>
  </si>
  <si>
    <t>027615000</t>
  </si>
  <si>
    <t>UNIVERSIDAD PEDAG. Y TEC TUNJA</t>
  </si>
  <si>
    <t>028327000</t>
  </si>
  <si>
    <t>UNIVERSIDAD TECN CHOCO</t>
  </si>
  <si>
    <t>821400000</t>
  </si>
  <si>
    <t>UNIVERSIDAD  COLEGIO MAYOR DE CUND</t>
  </si>
  <si>
    <t>027123000</t>
  </si>
  <si>
    <t>UNIVERSIDAD  CORDOBA</t>
  </si>
  <si>
    <t>821920000</t>
  </si>
  <si>
    <t>UNIVERSIDAD POP DEL CESAR</t>
  </si>
  <si>
    <t>DEPARTAMENTAL ADMINISTRACION DESCENTRALIZADA ENTES AUTONOMOS</t>
  </si>
  <si>
    <t>UNIVERSIDAD DE ANTIOQUIA</t>
  </si>
  <si>
    <t>UNIVERSIDAD DEL VALLE</t>
  </si>
  <si>
    <t>UNIVERSIDAD TECNOL DEL MAGDALENA</t>
  </si>
  <si>
    <t>UNIVERSIDAD DE ATLANTICO</t>
  </si>
  <si>
    <t>UNIVERSIDAD DE CARTAGENA</t>
  </si>
  <si>
    <t>UNIVERSIDAD CENTRAL VALLE TULUA</t>
  </si>
  <si>
    <t>UNIVERSIDAD DE NARIÑO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</si>
  <si>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</si>
  <si>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</si>
  <si>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</si>
  <si>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</si>
  <si>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</si>
  <si>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FCO DE PAULA SANT CUCUTA</t>
  </si>
  <si>
    <t>UNIVERSIDAD FCO DE PAULA SANT  OCAÑA</t>
  </si>
  <si>
    <t>UNIVERSIDAD DEL TOLIMA</t>
  </si>
  <si>
    <t>UNIVERSIDAD DE LA GUAJIRA</t>
  </si>
  <si>
    <t>DISTRITAL ADMINISTRACION DESCENTRALIZADA ENTES AUTONOMOS</t>
  </si>
  <si>
    <t>UNIVERSIDAD DISTRITAL FCO CALDAS</t>
  </si>
  <si>
    <t>AL SECTOR DE EDUCACION DEPARTAMENTAL</t>
  </si>
  <si>
    <t>DEPARTAMENTO ANTIOQUIA</t>
  </si>
  <si>
    <t>DEPARTAMENTO ATLANTICO</t>
  </si>
  <si>
    <t>DEPARTAMENTO BOLIVAR</t>
  </si>
  <si>
    <t>DEPARTAMENTO BOYACA</t>
  </si>
  <si>
    <t>DEPARTAMENTO CALDAS</t>
  </si>
  <si>
    <t>DEPARTAMENTO CAQUETA</t>
  </si>
  <si>
    <t>DEPARTAMENTO CAUCA</t>
  </si>
  <si>
    <t>DEPARTAMENTO CESAR</t>
  </si>
  <si>
    <t>DEPARTAMENTO CHOCO</t>
  </si>
  <si>
    <t>DEPARTAMENTO CORDOBA</t>
  </si>
  <si>
    <t>DEPARTAMENTO CUNDINAMARCA</t>
  </si>
  <si>
    <t>DEPARTAMENTO HUILA</t>
  </si>
  <si>
    <t>DEPARTAMENTO GUAJIRA</t>
  </si>
  <si>
    <t>DEPARTAMENTO MAGDALENA</t>
  </si>
  <si>
    <t>DEPARTAEMENTO META</t>
  </si>
  <si>
    <t>DEPARTAMENTO NARIÑO</t>
  </si>
  <si>
    <t>DEPARTAMENTO NORTE DE SANTANDER</t>
  </si>
  <si>
    <t>DEPARTAMENTO QUINDIO</t>
  </si>
  <si>
    <t>DEPARTAMENTO RISARALDA</t>
  </si>
  <si>
    <t>DEPARTAMENTO SANTANDER</t>
  </si>
  <si>
    <t>DEPARTAMENTRO SUCRE</t>
  </si>
  <si>
    <t>DEPARTAMENTO TOLIMA</t>
  </si>
  <si>
    <t>DEPARTAMENTO VALLE</t>
  </si>
  <si>
    <t>DEPARTAMENTO ARAUCA</t>
  </si>
  <si>
    <t>DEPARTAMENTO CASANARE</t>
  </si>
  <si>
    <t>DEPARTAMENTO PUTUMAYO</t>
  </si>
  <si>
    <t>DEPARTAMENTO SAN ANDRES</t>
  </si>
  <si>
    <t>DEPARTAMENTO AMAZONAS</t>
  </si>
  <si>
    <t>DEPARTAMENTO GUAINIA</t>
  </si>
  <si>
    <t>DEPARTAMENTO GUAVIARE</t>
  </si>
  <si>
    <t>DEPARTAMENTO VAUPES</t>
  </si>
  <si>
    <t>DEPARTAMENTO VICHADA</t>
  </si>
  <si>
    <t>SISTEMA GENERAL DE PARTICIPACIONES AL SECTOR EDUCACION</t>
  </si>
  <si>
    <t>AL SECTOR EDUCACION DISTRITAL</t>
  </si>
  <si>
    <t>SANTAMARTA</t>
  </si>
  <si>
    <t xml:space="preserve">EDUCACION ESTUDIOS Y PROYECTOS </t>
  </si>
  <si>
    <t>UNIVERSIDAD COLEGIO MAYOR DE CUNDI</t>
  </si>
  <si>
    <t xml:space="preserve">UNIVERSIDAD DE CALDAS </t>
  </si>
  <si>
    <t xml:space="preserve">UNIVERSIDAD DE TUNJA </t>
  </si>
  <si>
    <t xml:space="preserve">UNIVERSIDAD  CORDOBA </t>
  </si>
  <si>
    <t xml:space="preserve">UNIVERSIDAD DEL CHOCO </t>
  </si>
  <si>
    <t xml:space="preserve">UNIVERSIDAD LLANOS </t>
  </si>
  <si>
    <t xml:space="preserve">UNIVERSIDAD DE PEREIRA </t>
  </si>
  <si>
    <t xml:space="preserve">UNIVERSIDAD POP CESAR </t>
  </si>
  <si>
    <t xml:space="preserve">UNIVERSIDAD SUR DE NEIVA </t>
  </si>
  <si>
    <t xml:space="preserve">UNIVERSIDAD  AMAZONIA </t>
  </si>
  <si>
    <t>UNIVERSIDAD PEDAGOGICA NACIONAL</t>
  </si>
  <si>
    <t xml:space="preserve">RECAUDOS DTN POR CLASIFICAR </t>
  </si>
  <si>
    <t>Sin consolidar</t>
  </si>
  <si>
    <t>PRESTAMOS EDUCATIVOS</t>
  </si>
  <si>
    <t>INDERVALLE</t>
  </si>
  <si>
    <t>024800000</t>
  </si>
  <si>
    <t xml:space="preserve">COLDEPORTES </t>
  </si>
  <si>
    <t xml:space="preserve">TRANSFERENCIAS CORRIENTES  GOBIERNO GENERAL </t>
  </si>
  <si>
    <t>DEPOSITOS ENTREGADOS EN ADMINISTRACION</t>
  </si>
  <si>
    <t>41500000</t>
  </si>
  <si>
    <t>ICETEX</t>
  </si>
  <si>
    <t xml:space="preserve">MUNICIPIO DE SANTIAGO  CALI </t>
  </si>
  <si>
    <t>DEPOSITOS JUDICIALES</t>
  </si>
  <si>
    <t>069600000</t>
  </si>
  <si>
    <t>BANCO AGRARIO</t>
  </si>
  <si>
    <t xml:space="preserve">TRANSFERENCIAS </t>
  </si>
  <si>
    <t xml:space="preserve">COLDEPORTES NAL </t>
  </si>
  <si>
    <t>PREDIAL UNIFICADO</t>
  </si>
  <si>
    <t>GOBERNACION DEL VALLE</t>
  </si>
  <si>
    <t>CONSOLIDADO</t>
  </si>
  <si>
    <t>DEPARTAMENTO:</t>
  </si>
  <si>
    <t>CUNDINAMARCA</t>
  </si>
  <si>
    <t>CGN2005_001_SALDOS_Y_MOVIMIENTOS</t>
  </si>
  <si>
    <t>MUNICIPIO</t>
  </si>
  <si>
    <t>BOGOTA</t>
  </si>
  <si>
    <t>ENTIDAD:</t>
  </si>
  <si>
    <t>MINISTERIO DE EDUCACION NACIONAL</t>
  </si>
  <si>
    <t>CODIGO:</t>
  </si>
  <si>
    <t>011300000</t>
  </si>
  <si>
    <t>FECHA DE CORTE:</t>
  </si>
  <si>
    <t xml:space="preserve">PERÍODO DE MOVIMIENTO: </t>
  </si>
  <si>
    <t>(1o. Abril a 30 de Junio)</t>
  </si>
  <si>
    <t>Cifras en Miles de pesos</t>
  </si>
  <si>
    <t>CONCEPTO</t>
  </si>
  <si>
    <t>SALDO INICIAL</t>
  </si>
  <si>
    <t>MOVIMIENTO DEBITO</t>
  </si>
  <si>
    <t>MOVIMIENTO CRÉDITO</t>
  </si>
  <si>
    <t>SALDO FINAL</t>
  </si>
  <si>
    <t>SALDO FINAL CORRIENTE</t>
  </si>
  <si>
    <t>SALDO FINAL NO CORRIENTE</t>
  </si>
  <si>
    <t>CODIGO CONTABLE</t>
  </si>
  <si>
    <t>NOMBRE</t>
  </si>
  <si>
    <t>ACTIVO</t>
  </si>
  <si>
    <t>EFECTIVO</t>
  </si>
  <si>
    <t>CAJA</t>
  </si>
  <si>
    <t>Caja Principal</t>
  </si>
  <si>
    <t>Caja Menor</t>
  </si>
  <si>
    <t>BANCOS Y CORPORACIONES</t>
  </si>
  <si>
    <t>Cuentas corrientes Bancarias</t>
  </si>
  <si>
    <t>Cuenta de Ahorro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</si>
  <si>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</si>
  <si>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</si>
  <si>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</si>
  <si>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</si>
  <si>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</si>
  <si>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</si>
  <si>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</si>
  <si>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</si>
  <si>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DE RENTA VARIABLE</t>
  </si>
  <si>
    <t>Otras Inversiones de renta Variable</t>
  </si>
  <si>
    <t>INVERSIONES PATRIMONIALES NO CONTROLABLES</t>
  </si>
  <si>
    <t>En Entidades Privadas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</si>
  <si>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</si>
  <si>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</si>
  <si>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</si>
  <si>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</si>
  <si>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</si>
  <si>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Tasas</t>
  </si>
  <si>
    <t>Multas</t>
  </si>
  <si>
    <t>Pliego de Licitación</t>
  </si>
  <si>
    <t>Otros deudores por ingresos no tributarios</t>
  </si>
  <si>
    <t>Escuelas Industriales e Institutos Técnicos</t>
  </si>
  <si>
    <t>Junta Central de Contadores</t>
  </si>
  <si>
    <t>Fondos Recursos Monitoreo y vigilancia Educación Superior</t>
  </si>
  <si>
    <t>CUENTAS POR COBRAR</t>
  </si>
  <si>
    <t>Servicios Educativos</t>
  </si>
  <si>
    <t>Otras Cuentas por Cobrar</t>
  </si>
  <si>
    <t>TRANSFERENCIAS POR COBRAR</t>
  </si>
  <si>
    <t>Transferencias corrientes gobierno general</t>
  </si>
  <si>
    <t>PRESTAMOS CONCEDIDOS</t>
  </si>
  <si>
    <t>Préstamos Educativos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</si>
  <si>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</si>
  <si>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</si>
  <si>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</si>
  <si>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</si>
  <si>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</si>
  <si>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</si>
  <si>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</si>
  <si>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ANTICIPOS O SALDO A FAVOR POR IMPUESTOS</t>
  </si>
  <si>
    <t>Anticipo contribucion especial</t>
  </si>
  <si>
    <t>Impuestos de Industria y Comercio</t>
  </si>
  <si>
    <t>DEPOSITOS ENTREGADOS</t>
  </si>
  <si>
    <t>Depósitos Judiciales</t>
  </si>
  <si>
    <t>En administración</t>
  </si>
  <si>
    <t>OTROS DEUDORES</t>
  </si>
  <si>
    <t>Rendimiento de Inversion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</si>
</sst>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"/>
    <numFmt numFmtId="166" formatCode="000000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name val="Tahoma"/>
      <family val="2"/>
    </font>
    <font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3" fontId="2" fillId="0" borderId="0" xfId="16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3" fontId="2" fillId="0" borderId="0" xfId="16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right" vertical="center"/>
    </xf>
    <xf numFmtId="3" fontId="4" fillId="0" borderId="0" xfId="16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vertical="center" wrapText="1"/>
      <protection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3" fontId="6" fillId="0" borderId="1" xfId="16" applyNumberFormat="1" applyFont="1" applyFill="1" applyBorder="1" applyAlignment="1" applyProtection="1">
      <alignment horizontal="right" vertical="center"/>
      <protection locked="0"/>
    </xf>
    <xf numFmtId="3" fontId="6" fillId="0" borderId="13" xfId="16" applyNumberFormat="1" applyFont="1" applyFill="1" applyBorder="1" applyAlignment="1" applyProtection="1">
      <alignment horizontal="right" vertical="center"/>
      <protection locked="0"/>
    </xf>
    <xf numFmtId="3" fontId="7" fillId="0" borderId="1" xfId="16" applyNumberFormat="1" applyFont="1" applyFill="1" applyBorder="1" applyAlignment="1" applyProtection="1">
      <alignment horizontal="right" vertical="center"/>
      <protection locked="0"/>
    </xf>
    <xf numFmtId="3" fontId="7" fillId="0" borderId="13" xfId="16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3" fontId="6" fillId="0" borderId="1" xfId="16" applyNumberFormat="1" applyFont="1" applyFill="1" applyBorder="1" applyAlignment="1">
      <alignment vertical="center"/>
    </xf>
    <xf numFmtId="3" fontId="6" fillId="0" borderId="13" xfId="16" applyNumberFormat="1" applyFont="1" applyFill="1" applyBorder="1" applyAlignment="1">
      <alignment vertical="center"/>
    </xf>
    <xf numFmtId="3" fontId="7" fillId="0" borderId="1" xfId="16" applyNumberFormat="1" applyFont="1" applyFill="1" applyBorder="1" applyAlignment="1">
      <alignment vertical="center"/>
    </xf>
    <xf numFmtId="3" fontId="7" fillId="0" borderId="13" xfId="16" applyNumberFormat="1" applyFont="1" applyFill="1" applyBorder="1" applyAlignment="1">
      <alignment vertical="center"/>
    </xf>
    <xf numFmtId="3" fontId="6" fillId="0" borderId="1" xfId="16" applyNumberFormat="1" applyFont="1" applyFill="1" applyBorder="1" applyAlignment="1" applyProtection="1" quotePrefix="1">
      <alignment horizontal="right" vertical="center"/>
      <protection locked="0"/>
    </xf>
    <xf numFmtId="3" fontId="6" fillId="0" borderId="13" xfId="16" applyNumberFormat="1" applyFont="1" applyFill="1" applyBorder="1" applyAlignment="1" applyProtection="1" quotePrefix="1">
      <alignment horizontal="right" vertical="center"/>
      <protection locked="0"/>
    </xf>
    <xf numFmtId="0" fontId="7" fillId="0" borderId="1" xfId="0" applyFont="1" applyFill="1" applyBorder="1" applyAlignment="1" applyProtection="1" quotePrefix="1">
      <alignment horizontal="left" vertical="center" wrapText="1"/>
      <protection/>
    </xf>
    <xf numFmtId="3" fontId="7" fillId="0" borderId="1" xfId="16" applyNumberFormat="1" applyFont="1" applyFill="1" applyBorder="1" applyAlignment="1" applyProtection="1" quotePrefix="1">
      <alignment horizontal="right" vertical="center"/>
      <protection locked="0"/>
    </xf>
    <xf numFmtId="3" fontId="7" fillId="0" borderId="13" xfId="16" applyNumberFormat="1" applyFont="1" applyFill="1" applyBorder="1" applyAlignment="1" applyProtection="1" quotePrefix="1">
      <alignment horizontal="right" vertical="center"/>
      <protection locked="0"/>
    </xf>
    <xf numFmtId="1" fontId="5" fillId="0" borderId="1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166" fontId="5" fillId="0" borderId="12" xfId="0" applyNumberFormat="1" applyFont="1" applyFill="1" applyBorder="1" applyAlignment="1" applyProtection="1">
      <alignment horizontal="center" vertical="center"/>
      <protection/>
    </xf>
    <xf numFmtId="166" fontId="6" fillId="0" borderId="1" xfId="0" applyNumberFormat="1" applyFont="1" applyFill="1" applyBorder="1" applyAlignment="1" applyProtection="1">
      <alignment horizontal="left" vertical="center" wrapText="1"/>
      <protection/>
    </xf>
    <xf numFmtId="166" fontId="7" fillId="0" borderId="1" xfId="0" applyNumberFormat="1" applyFont="1" applyFill="1" applyBorder="1" applyAlignment="1" applyProtection="1">
      <alignment horizontal="left" vertical="center" wrapText="1"/>
      <protection/>
    </xf>
    <xf numFmtId="166" fontId="5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43" fontId="2" fillId="0" borderId="0" xfId="15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1" xfId="16" applyNumberFormat="1" applyFont="1" applyFill="1" applyBorder="1" applyAlignment="1" applyProtection="1">
      <alignment horizontal="right" vertical="center"/>
      <protection locked="0"/>
    </xf>
    <xf numFmtId="3" fontId="5" fillId="0" borderId="13" xfId="16" applyNumberFormat="1" applyFont="1" applyFill="1" applyBorder="1" applyAlignment="1" applyProtection="1">
      <alignment horizontal="right" vertical="center"/>
      <protection locked="0"/>
    </xf>
    <xf numFmtId="3" fontId="2" fillId="0" borderId="1" xfId="16" applyNumberFormat="1" applyFont="1" applyFill="1" applyBorder="1" applyAlignment="1" applyProtection="1">
      <alignment horizontal="right" vertical="center"/>
      <protection locked="0"/>
    </xf>
    <xf numFmtId="3" fontId="2" fillId="0" borderId="13" xfId="16" applyNumberFormat="1" applyFont="1" applyFill="1" applyBorder="1" applyAlignment="1" applyProtection="1">
      <alignment horizontal="right" vertical="center"/>
      <protection locked="0"/>
    </xf>
    <xf numFmtId="3" fontId="5" fillId="0" borderId="1" xfId="16" applyNumberFormat="1" applyFont="1" applyFill="1" applyBorder="1" applyAlignment="1">
      <alignment vertical="center"/>
    </xf>
    <xf numFmtId="3" fontId="5" fillId="0" borderId="13" xfId="16" applyNumberFormat="1" applyFont="1" applyFill="1" applyBorder="1" applyAlignment="1">
      <alignment vertical="center"/>
    </xf>
    <xf numFmtId="3" fontId="2" fillId="0" borderId="13" xfId="16" applyNumberFormat="1" applyFont="1" applyFill="1" applyBorder="1" applyAlignment="1">
      <alignment vertical="center"/>
    </xf>
    <xf numFmtId="3" fontId="2" fillId="0" borderId="1" xfId="16" applyNumberFormat="1" applyFont="1" applyFill="1" applyBorder="1" applyAlignment="1">
      <alignment vertical="center"/>
    </xf>
    <xf numFmtId="3" fontId="5" fillId="0" borderId="1" xfId="16" applyNumberFormat="1" applyFont="1" applyFill="1" applyBorder="1" applyAlignment="1" applyProtection="1" quotePrefix="1">
      <alignment horizontal="right" vertical="center"/>
      <protection locked="0"/>
    </xf>
    <xf numFmtId="3" fontId="5" fillId="0" borderId="13" xfId="16" applyNumberFormat="1" applyFont="1" applyFill="1" applyBorder="1" applyAlignment="1" applyProtection="1" quotePrefix="1">
      <alignment horizontal="right" vertical="center"/>
      <protection locked="0"/>
    </xf>
    <xf numFmtId="3" fontId="2" fillId="0" borderId="13" xfId="16" applyNumberFormat="1" applyFont="1" applyFill="1" applyBorder="1" applyAlignment="1" applyProtection="1" quotePrefix="1">
      <alignment horizontal="right" vertical="center"/>
      <protection locked="0"/>
    </xf>
    <xf numFmtId="3" fontId="10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 applyProtection="1" quotePrefix="1">
      <alignment horizontal="left" vertical="center" wrapText="1"/>
      <protection/>
    </xf>
    <xf numFmtId="3" fontId="5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left" vertical="center" wrapText="1"/>
      <protection/>
    </xf>
    <xf numFmtId="166" fontId="2" fillId="0" borderId="1" xfId="0" applyNumberFormat="1" applyFont="1" applyFill="1" applyBorder="1" applyAlignment="1" applyProtection="1">
      <alignment horizontal="left" vertical="center" wrapText="1"/>
      <protection/>
    </xf>
    <xf numFmtId="3" fontId="2" fillId="0" borderId="2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Continuous" vertical="center" wrapText="1"/>
    </xf>
    <xf numFmtId="0" fontId="5" fillId="2" borderId="17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 quotePrefix="1">
      <alignment horizontal="right" vertical="center" wrapText="1"/>
    </xf>
    <xf numFmtId="1" fontId="2" fillId="0" borderId="1" xfId="0" applyNumberFormat="1" applyFont="1" applyFill="1" applyBorder="1" applyAlignment="1" quotePrefix="1">
      <alignment horizontal="right" vertical="center" wrapText="1"/>
    </xf>
    <xf numFmtId="1" fontId="13" fillId="0" borderId="1" xfId="0" applyNumberFormat="1" applyFont="1" applyFill="1" applyBorder="1" applyAlignment="1" quotePrefix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3" fontId="15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 quotePrefix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 quotePrefix="1">
      <alignment horizontal="right" vertical="center" wrapText="1"/>
    </xf>
    <xf numFmtId="49" fontId="13" fillId="0" borderId="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" fontId="13" fillId="0" borderId="1" xfId="0" applyNumberFormat="1" applyFont="1" applyFill="1" applyBorder="1" applyAlignment="1" quotePrefix="1">
      <alignment horizontal="center" vertical="center" wrapText="1"/>
    </xf>
    <xf numFmtId="1" fontId="13" fillId="0" borderId="2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3" fontId="5" fillId="2" borderId="6" xfId="16" applyNumberFormat="1" applyFont="1" applyFill="1" applyBorder="1" applyAlignment="1">
      <alignment horizontal="center" vertical="center" wrapText="1"/>
    </xf>
    <xf numFmtId="3" fontId="5" fillId="2" borderId="8" xfId="16" applyNumberFormat="1" applyFont="1" applyFill="1" applyBorder="1" applyAlignment="1">
      <alignment horizontal="center" vertical="center" wrapText="1"/>
    </xf>
    <xf numFmtId="3" fontId="5" fillId="2" borderId="19" xfId="16" applyNumberFormat="1" applyFont="1" applyFill="1" applyBorder="1" applyAlignment="1">
      <alignment horizontal="center" vertical="center" wrapText="1"/>
    </xf>
    <xf numFmtId="3" fontId="5" fillId="2" borderId="20" xfId="16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875"/>
  <sheetViews>
    <sheetView tabSelected="1" workbookViewId="0" topLeftCell="A1">
      <selection activeCell="B890" sqref="B890"/>
    </sheetView>
  </sheetViews>
  <sheetFormatPr defaultColWidth="11.421875" defaultRowHeight="12.75"/>
  <cols>
    <col min="1" max="1" width="15.00390625" style="36" customWidth="1"/>
    <col min="2" max="2" width="40.421875" style="6" customWidth="1"/>
    <col min="3" max="3" width="12.00390625" style="6" customWidth="1"/>
    <col min="4" max="4" width="14.7109375" style="6" customWidth="1"/>
    <col min="5" max="5" width="15.8515625" style="37" customWidth="1"/>
    <col min="6" max="6" width="13.421875" style="38" bestFit="1" customWidth="1"/>
    <col min="7" max="7" width="11.421875" style="36" customWidth="1"/>
    <col min="8" max="8" width="15.8515625" style="36" customWidth="1"/>
    <col min="9" max="16384" width="11.421875" style="6" customWidth="1"/>
  </cols>
  <sheetData>
    <row r="1" spans="1:8" ht="12.75">
      <c r="A1" s="1" t="s">
        <v>2756</v>
      </c>
      <c r="B1" s="2" t="s">
        <v>2757</v>
      </c>
      <c r="C1" s="3" t="s">
        <v>2758</v>
      </c>
      <c r="D1" s="3"/>
      <c r="E1" s="3"/>
      <c r="F1" s="4"/>
      <c r="G1" s="5"/>
      <c r="H1" s="5"/>
    </row>
    <row r="2" spans="1:8" ht="12.75">
      <c r="A2" s="1" t="s">
        <v>2759</v>
      </c>
      <c r="B2" s="2" t="s">
        <v>2760</v>
      </c>
      <c r="C2" s="2"/>
      <c r="D2" s="2"/>
      <c r="E2" s="2"/>
      <c r="F2" s="4"/>
      <c r="G2" s="5"/>
      <c r="H2" s="5"/>
    </row>
    <row r="3" spans="1:8" ht="12.75">
      <c r="A3" s="1" t="s">
        <v>2761</v>
      </c>
      <c r="B3" s="7" t="s">
        <v>2762</v>
      </c>
      <c r="C3" s="7"/>
      <c r="D3" s="7"/>
      <c r="E3" s="7"/>
      <c r="F3" s="8"/>
      <c r="G3" s="5"/>
      <c r="H3" s="5"/>
    </row>
    <row r="4" spans="1:8" ht="12.75">
      <c r="A4" s="9" t="s">
        <v>2763</v>
      </c>
      <c r="B4" s="10" t="s">
        <v>2764</v>
      </c>
      <c r="C4" s="11"/>
      <c r="D4" s="11"/>
      <c r="E4" s="11"/>
      <c r="F4" s="12"/>
      <c r="G4" s="5"/>
      <c r="H4" s="5"/>
    </row>
    <row r="5" spans="1:8" ht="25.5">
      <c r="A5" s="16" t="s">
        <v>2765</v>
      </c>
      <c r="B5" s="13">
        <v>38898</v>
      </c>
      <c r="C5" s="14"/>
      <c r="D5" s="14"/>
      <c r="E5" s="14"/>
      <c r="F5" s="15"/>
      <c r="G5" s="5"/>
      <c r="H5" s="5"/>
    </row>
    <row r="6" spans="1:8" ht="25.5">
      <c r="A6" s="16" t="s">
        <v>2766</v>
      </c>
      <c r="B6" s="17" t="s">
        <v>2767</v>
      </c>
      <c r="C6" s="17"/>
      <c r="D6" s="17"/>
      <c r="E6" s="17"/>
      <c r="F6" s="18"/>
      <c r="G6" s="19"/>
      <c r="H6" s="19"/>
    </row>
    <row r="7" spans="1:8" ht="18">
      <c r="A7" s="20"/>
      <c r="B7" s="20"/>
      <c r="C7" s="20"/>
      <c r="D7" s="20"/>
      <c r="E7" s="20"/>
      <c r="F7" s="21"/>
      <c r="G7" s="22" t="s">
        <v>2768</v>
      </c>
      <c r="H7" s="22"/>
    </row>
    <row r="8" spans="1:8" ht="13.5" thickBot="1">
      <c r="A8" s="23">
        <v>15.71</v>
      </c>
      <c r="B8" s="24">
        <v>60.14</v>
      </c>
      <c r="C8" s="24"/>
      <c r="D8" s="24"/>
      <c r="E8" s="24"/>
      <c r="F8" s="25"/>
      <c r="G8" s="5"/>
      <c r="H8" s="5"/>
    </row>
    <row r="9" spans="1:8" s="26" customFormat="1" ht="12.75">
      <c r="A9" s="39" t="s">
        <v>2769</v>
      </c>
      <c r="B9" s="40"/>
      <c r="C9" s="213" t="s">
        <v>2770</v>
      </c>
      <c r="D9" s="213" t="s">
        <v>2771</v>
      </c>
      <c r="E9" s="213" t="s">
        <v>2772</v>
      </c>
      <c r="F9" s="215" t="s">
        <v>2773</v>
      </c>
      <c r="G9" s="209" t="s">
        <v>2774</v>
      </c>
      <c r="H9" s="211" t="s">
        <v>2775</v>
      </c>
    </row>
    <row r="10" spans="1:8" s="26" customFormat="1" ht="26.25" thickBot="1">
      <c r="A10" s="41" t="s">
        <v>2776</v>
      </c>
      <c r="B10" s="42" t="s">
        <v>2777</v>
      </c>
      <c r="C10" s="214"/>
      <c r="D10" s="214"/>
      <c r="E10" s="214"/>
      <c r="F10" s="216"/>
      <c r="G10" s="210"/>
      <c r="H10" s="212"/>
    </row>
    <row r="11" spans="1:8" ht="12">
      <c r="A11" s="43">
        <v>100000</v>
      </c>
      <c r="B11" s="44" t="s">
        <v>2778</v>
      </c>
      <c r="C11" s="45">
        <f aca="true" t="shared" si="0" ref="C11:H11">C12+C23+C34+C76+C142</f>
        <v>788644306</v>
      </c>
      <c r="D11" s="45">
        <f t="shared" si="0"/>
        <v>982581279</v>
      </c>
      <c r="E11" s="45">
        <f t="shared" si="0"/>
        <v>917179180</v>
      </c>
      <c r="F11" s="45">
        <f t="shared" si="0"/>
        <v>854046405</v>
      </c>
      <c r="G11" s="45">
        <f t="shared" si="0"/>
        <v>712161221</v>
      </c>
      <c r="H11" s="46">
        <f t="shared" si="0"/>
        <v>141885184</v>
      </c>
    </row>
    <row r="12" spans="1:8" ht="12">
      <c r="A12" s="47">
        <v>110000</v>
      </c>
      <c r="B12" s="48" t="s">
        <v>2779</v>
      </c>
      <c r="C12" s="49">
        <f>C13+C16+C20</f>
        <v>20778411</v>
      </c>
      <c r="D12" s="49">
        <f>+D13+D16+D20</f>
        <v>512587651</v>
      </c>
      <c r="E12" s="49">
        <f>+E13+E16+E20</f>
        <v>499203977</v>
      </c>
      <c r="F12" s="49">
        <f>+F13+F16+F20</f>
        <v>34162085</v>
      </c>
      <c r="G12" s="49">
        <f>+G13+G16+G20</f>
        <v>34162085</v>
      </c>
      <c r="H12" s="50">
        <f>+H13+H16+H20</f>
        <v>0</v>
      </c>
    </row>
    <row r="13" spans="1:8" ht="12">
      <c r="A13" s="47">
        <v>110500</v>
      </c>
      <c r="B13" s="48" t="s">
        <v>2780</v>
      </c>
      <c r="C13" s="49">
        <f aca="true" t="shared" si="1" ref="C13:H13">SUM(C14:C15)</f>
        <v>40500</v>
      </c>
      <c r="D13" s="49">
        <f t="shared" si="1"/>
        <v>5000</v>
      </c>
      <c r="E13" s="49">
        <f t="shared" si="1"/>
        <v>0</v>
      </c>
      <c r="F13" s="49">
        <f t="shared" si="1"/>
        <v>45500</v>
      </c>
      <c r="G13" s="49">
        <f t="shared" si="1"/>
        <v>45500</v>
      </c>
      <c r="H13" s="50">
        <f t="shared" si="1"/>
        <v>0</v>
      </c>
    </row>
    <row r="14" spans="1:8" ht="12">
      <c r="A14" s="47">
        <v>110501</v>
      </c>
      <c r="B14" s="51" t="s">
        <v>2781</v>
      </c>
      <c r="C14" s="52">
        <v>0</v>
      </c>
      <c r="D14" s="52">
        <f>53-53</f>
        <v>0</v>
      </c>
      <c r="E14" s="52">
        <v>0</v>
      </c>
      <c r="F14" s="27">
        <f aca="true" t="shared" si="2" ref="F14:F75">+C14+D14-E14</f>
        <v>0</v>
      </c>
      <c r="G14" s="52">
        <f>+F14</f>
        <v>0</v>
      </c>
      <c r="H14" s="53">
        <v>0</v>
      </c>
    </row>
    <row r="15" spans="1:8" ht="12">
      <c r="A15" s="47">
        <v>110502</v>
      </c>
      <c r="B15" s="51" t="s">
        <v>2782</v>
      </c>
      <c r="C15" s="52">
        <v>40500</v>
      </c>
      <c r="D15" s="52">
        <f>8500-3500</f>
        <v>5000</v>
      </c>
      <c r="E15" s="52">
        <v>0</v>
      </c>
      <c r="F15" s="27">
        <f t="shared" si="2"/>
        <v>45500</v>
      </c>
      <c r="G15" s="52">
        <f>+F15</f>
        <v>45500</v>
      </c>
      <c r="H15" s="53">
        <v>0</v>
      </c>
    </row>
    <row r="16" spans="1:8" ht="12">
      <c r="A16" s="47">
        <v>111000</v>
      </c>
      <c r="B16" s="48" t="s">
        <v>2783</v>
      </c>
      <c r="C16" s="54">
        <f aca="true" t="shared" si="3" ref="C16:H16">SUM(C17:C19)</f>
        <v>343919</v>
      </c>
      <c r="D16" s="54">
        <f t="shared" si="3"/>
        <v>395885562</v>
      </c>
      <c r="E16" s="54">
        <f t="shared" si="3"/>
        <v>394547443</v>
      </c>
      <c r="F16" s="54">
        <f t="shared" si="3"/>
        <v>1682038</v>
      </c>
      <c r="G16" s="54">
        <f t="shared" si="3"/>
        <v>1682038</v>
      </c>
      <c r="H16" s="55">
        <f t="shared" si="3"/>
        <v>0</v>
      </c>
    </row>
    <row r="17" spans="1:8" ht="12">
      <c r="A17" s="47">
        <v>111005</v>
      </c>
      <c r="B17" s="51" t="s">
        <v>2784</v>
      </c>
      <c r="C17" s="56">
        <v>343919</v>
      </c>
      <c r="D17" s="52">
        <f>396234487-348925</f>
        <v>395885562</v>
      </c>
      <c r="E17" s="52">
        <v>394547443</v>
      </c>
      <c r="F17" s="27">
        <f t="shared" si="2"/>
        <v>1682038</v>
      </c>
      <c r="G17" s="52">
        <f>+F17</f>
        <v>1682038</v>
      </c>
      <c r="H17" s="57">
        <v>0</v>
      </c>
    </row>
    <row r="18" spans="1:8" ht="12">
      <c r="A18" s="47">
        <v>111006</v>
      </c>
      <c r="B18" s="51" t="s">
        <v>2785</v>
      </c>
      <c r="C18" s="56">
        <v>0</v>
      </c>
      <c r="D18" s="52">
        <f>1038420-1038420</f>
        <v>0</v>
      </c>
      <c r="E18" s="52">
        <v>0</v>
      </c>
      <c r="F18" s="27">
        <f t="shared" si="2"/>
        <v>0</v>
      </c>
      <c r="G18" s="52">
        <f>+F18</f>
        <v>0</v>
      </c>
      <c r="H18" s="57">
        <v>0</v>
      </c>
    </row>
    <row r="19" spans="1:8" ht="12">
      <c r="A19" s="47">
        <v>111090</v>
      </c>
      <c r="B19" s="51" t="s">
        <v>2786</v>
      </c>
      <c r="C19" s="56">
        <v>0</v>
      </c>
      <c r="D19" s="52">
        <v>0</v>
      </c>
      <c r="E19" s="52">
        <v>0</v>
      </c>
      <c r="F19" s="27">
        <f t="shared" si="2"/>
        <v>0</v>
      </c>
      <c r="G19" s="52">
        <f>+F19</f>
        <v>0</v>
      </c>
      <c r="H19" s="57">
        <v>0</v>
      </c>
    </row>
    <row r="20" spans="1:8" ht="12">
      <c r="A20" s="47">
        <v>112500</v>
      </c>
      <c r="B20" s="58" t="s">
        <v>2787</v>
      </c>
      <c r="C20" s="54">
        <f aca="true" t="shared" si="4" ref="C20:H20">SUM(C21:C22)</f>
        <v>20393992</v>
      </c>
      <c r="D20" s="54">
        <f t="shared" si="4"/>
        <v>116697089</v>
      </c>
      <c r="E20" s="54">
        <f t="shared" si="4"/>
        <v>104656534</v>
      </c>
      <c r="F20" s="54">
        <f t="shared" si="4"/>
        <v>32434547</v>
      </c>
      <c r="G20" s="54">
        <f t="shared" si="4"/>
        <v>32434547</v>
      </c>
      <c r="H20" s="55">
        <f t="shared" si="4"/>
        <v>0</v>
      </c>
    </row>
    <row r="21" spans="1:8" ht="12">
      <c r="A21" s="47">
        <v>112504</v>
      </c>
      <c r="B21" s="51" t="s">
        <v>2788</v>
      </c>
      <c r="C21" s="56">
        <v>20393992</v>
      </c>
      <c r="D21" s="52">
        <v>116697089</v>
      </c>
      <c r="E21" s="52">
        <v>104656534</v>
      </c>
      <c r="F21" s="27">
        <f>C21+D21-E21</f>
        <v>32434547</v>
      </c>
      <c r="G21" s="52">
        <f>+F21</f>
        <v>32434547</v>
      </c>
      <c r="H21" s="57">
        <v>0</v>
      </c>
    </row>
    <row r="22" spans="1:8" ht="12">
      <c r="A22" s="47">
        <v>112506</v>
      </c>
      <c r="B22" s="51" t="s">
        <v>2789</v>
      </c>
      <c r="C22" s="56">
        <v>0</v>
      </c>
      <c r="D22" s="52">
        <v>0</v>
      </c>
      <c r="E22" s="52">
        <v>0</v>
      </c>
      <c r="F22" s="27">
        <f t="shared" si="2"/>
        <v>0</v>
      </c>
      <c r="G22" s="52">
        <f>+F22</f>
        <v>0</v>
      </c>
      <c r="H22" s="55">
        <v>0</v>
      </c>
    </row>
    <row r="23" spans="1:8" ht="12">
      <c r="A23" s="47">
        <v>120000</v>
      </c>
      <c r="B23" s="48" t="s">
        <v>2790</v>
      </c>
      <c r="C23" s="49">
        <f aca="true" t="shared" si="5" ref="C23:H23">C24+C27+C29+C31</f>
        <v>194817482</v>
      </c>
      <c r="D23" s="49">
        <f t="shared" si="5"/>
        <v>83332933</v>
      </c>
      <c r="E23" s="49">
        <f t="shared" si="5"/>
        <v>81648014</v>
      </c>
      <c r="F23" s="49">
        <f t="shared" si="5"/>
        <v>196502401</v>
      </c>
      <c r="G23" s="49">
        <f t="shared" si="5"/>
        <v>196502401</v>
      </c>
      <c r="H23" s="50">
        <f t="shared" si="5"/>
        <v>0</v>
      </c>
    </row>
    <row r="24" spans="1:8" ht="12">
      <c r="A24" s="47">
        <v>120100</v>
      </c>
      <c r="B24" s="48" t="s">
        <v>2791</v>
      </c>
      <c r="C24" s="49">
        <f aca="true" t="shared" si="6" ref="C24:H24">SUM(C25:C26)</f>
        <v>194817482</v>
      </c>
      <c r="D24" s="49">
        <f t="shared" si="6"/>
        <v>83332933</v>
      </c>
      <c r="E24" s="49">
        <f t="shared" si="6"/>
        <v>81648014</v>
      </c>
      <c r="F24" s="49">
        <f t="shared" si="6"/>
        <v>196502401</v>
      </c>
      <c r="G24" s="49">
        <f t="shared" si="6"/>
        <v>196502401</v>
      </c>
      <c r="H24" s="50">
        <f t="shared" si="6"/>
        <v>0</v>
      </c>
    </row>
    <row r="25" spans="1:8" ht="12">
      <c r="A25" s="47">
        <v>120101</v>
      </c>
      <c r="B25" s="51" t="s">
        <v>2792</v>
      </c>
      <c r="C25" s="52">
        <v>55390851</v>
      </c>
      <c r="D25" s="56">
        <v>118879</v>
      </c>
      <c r="E25" s="56">
        <v>28045355</v>
      </c>
      <c r="F25" s="27">
        <f t="shared" si="2"/>
        <v>27464375</v>
      </c>
      <c r="G25" s="52">
        <f aca="true" t="shared" si="7" ref="G25:G33">+F25</f>
        <v>27464375</v>
      </c>
      <c r="H25" s="53">
        <v>0</v>
      </c>
    </row>
    <row r="26" spans="1:8" ht="12">
      <c r="A26" s="47">
        <v>120106</v>
      </c>
      <c r="B26" s="51" t="s">
        <v>2793</v>
      </c>
      <c r="C26" s="52">
        <v>139426631</v>
      </c>
      <c r="D26" s="56">
        <v>83214054</v>
      </c>
      <c r="E26" s="56">
        <v>53602659</v>
      </c>
      <c r="F26" s="27">
        <f t="shared" si="2"/>
        <v>169038026</v>
      </c>
      <c r="G26" s="52">
        <f t="shared" si="7"/>
        <v>169038026</v>
      </c>
      <c r="H26" s="53">
        <v>0</v>
      </c>
    </row>
    <row r="27" spans="1:8" ht="12">
      <c r="A27" s="47">
        <v>120200</v>
      </c>
      <c r="B27" s="48" t="s">
        <v>2794</v>
      </c>
      <c r="C27" s="54">
        <f>C28</f>
        <v>0</v>
      </c>
      <c r="D27" s="54">
        <f>D28</f>
        <v>0</v>
      </c>
      <c r="E27" s="54">
        <f>E28</f>
        <v>0</v>
      </c>
      <c r="F27" s="54">
        <f>F28</f>
        <v>0</v>
      </c>
      <c r="G27" s="54">
        <v>0</v>
      </c>
      <c r="H27" s="55">
        <v>0</v>
      </c>
    </row>
    <row r="28" spans="1:8" ht="12">
      <c r="A28" s="47">
        <v>120290</v>
      </c>
      <c r="B28" s="51" t="s">
        <v>2795</v>
      </c>
      <c r="C28" s="56">
        <v>0</v>
      </c>
      <c r="D28" s="52">
        <v>0</v>
      </c>
      <c r="E28" s="52">
        <v>0</v>
      </c>
      <c r="F28" s="27">
        <f t="shared" si="2"/>
        <v>0</v>
      </c>
      <c r="G28" s="52">
        <f t="shared" si="7"/>
        <v>0</v>
      </c>
      <c r="H28" s="57">
        <v>0</v>
      </c>
    </row>
    <row r="29" spans="1:8" ht="12">
      <c r="A29" s="47">
        <v>120700</v>
      </c>
      <c r="B29" s="48" t="s">
        <v>2796</v>
      </c>
      <c r="C29" s="54">
        <f>C30</f>
        <v>0</v>
      </c>
      <c r="D29" s="54">
        <f>D30</f>
        <v>0</v>
      </c>
      <c r="E29" s="54">
        <f>E30</f>
        <v>0</v>
      </c>
      <c r="F29" s="54">
        <f>F30</f>
        <v>0</v>
      </c>
      <c r="G29" s="54">
        <v>0</v>
      </c>
      <c r="H29" s="55">
        <v>0</v>
      </c>
    </row>
    <row r="30" spans="1:8" ht="12">
      <c r="A30" s="47">
        <v>120751</v>
      </c>
      <c r="B30" s="51" t="s">
        <v>2797</v>
      </c>
      <c r="C30" s="56">
        <v>0</v>
      </c>
      <c r="D30" s="56">
        <f>49209-49209</f>
        <v>0</v>
      </c>
      <c r="E30" s="56">
        <v>0</v>
      </c>
      <c r="F30" s="27">
        <f t="shared" si="2"/>
        <v>0</v>
      </c>
      <c r="G30" s="52">
        <f t="shared" si="7"/>
        <v>0</v>
      </c>
      <c r="H30" s="57">
        <v>0</v>
      </c>
    </row>
    <row r="31" spans="1:8" ht="12">
      <c r="A31" s="47">
        <v>120800</v>
      </c>
      <c r="B31" s="48" t="s">
        <v>2798</v>
      </c>
      <c r="C31" s="54">
        <f>SUM(C32:C33)</f>
        <v>0</v>
      </c>
      <c r="D31" s="54">
        <f>SUM(D32:D33)</f>
        <v>0</v>
      </c>
      <c r="E31" s="54">
        <f>SUM(E32:E33)</f>
        <v>0</v>
      </c>
      <c r="F31" s="54">
        <f>SUM(F32:F33)</f>
        <v>0</v>
      </c>
      <c r="G31" s="54">
        <v>0</v>
      </c>
      <c r="H31" s="55">
        <v>0</v>
      </c>
    </row>
    <row r="32" spans="1:8" ht="12">
      <c r="A32" s="47">
        <v>120802</v>
      </c>
      <c r="B32" s="51" t="s">
        <v>2799</v>
      </c>
      <c r="C32" s="56">
        <v>0</v>
      </c>
      <c r="D32" s="52">
        <v>0</v>
      </c>
      <c r="E32" s="52">
        <v>0</v>
      </c>
      <c r="F32" s="27">
        <f t="shared" si="2"/>
        <v>0</v>
      </c>
      <c r="G32" s="52">
        <f t="shared" si="7"/>
        <v>0</v>
      </c>
      <c r="H32" s="57">
        <v>0</v>
      </c>
    </row>
    <row r="33" spans="1:8" ht="12">
      <c r="A33" s="47">
        <v>120890</v>
      </c>
      <c r="B33" s="51" t="s">
        <v>2800</v>
      </c>
      <c r="C33" s="52">
        <v>0</v>
      </c>
      <c r="D33" s="52">
        <v>0</v>
      </c>
      <c r="E33" s="52">
        <v>0</v>
      </c>
      <c r="F33" s="27">
        <f t="shared" si="2"/>
        <v>0</v>
      </c>
      <c r="G33" s="52">
        <f t="shared" si="7"/>
        <v>0</v>
      </c>
      <c r="H33" s="57">
        <v>0</v>
      </c>
    </row>
    <row r="34" spans="1:8" ht="12">
      <c r="A34" s="47">
        <v>140000</v>
      </c>
      <c r="B34" s="48" t="s">
        <v>2801</v>
      </c>
      <c r="C34" s="49">
        <f aca="true" t="shared" si="8" ref="C34:H34">C35+C40+C44+C47+C49+C52+C58+C61+C64+C71</f>
        <v>431074972</v>
      </c>
      <c r="D34" s="49">
        <f t="shared" si="8"/>
        <v>153197333</v>
      </c>
      <c r="E34" s="49">
        <f t="shared" si="8"/>
        <v>102775570</v>
      </c>
      <c r="F34" s="49">
        <f t="shared" si="8"/>
        <v>481496735</v>
      </c>
      <c r="G34" s="49">
        <f t="shared" si="8"/>
        <v>481496735</v>
      </c>
      <c r="H34" s="50">
        <f t="shared" si="8"/>
        <v>0</v>
      </c>
    </row>
    <row r="35" spans="1:8" ht="12">
      <c r="A35" s="47">
        <v>140100</v>
      </c>
      <c r="B35" s="58" t="s">
        <v>2802</v>
      </c>
      <c r="C35" s="49">
        <f aca="true" t="shared" si="9" ref="C35:H35">SUM(C36:C39)</f>
        <v>0</v>
      </c>
      <c r="D35" s="49">
        <f t="shared" si="9"/>
        <v>25023782</v>
      </c>
      <c r="E35" s="49">
        <f t="shared" si="9"/>
        <v>25023782</v>
      </c>
      <c r="F35" s="49">
        <f t="shared" si="9"/>
        <v>0</v>
      </c>
      <c r="G35" s="49">
        <f t="shared" si="9"/>
        <v>0</v>
      </c>
      <c r="H35" s="50">
        <f t="shared" si="9"/>
        <v>0</v>
      </c>
    </row>
    <row r="36" spans="1:8" ht="12">
      <c r="A36" s="47">
        <v>140101</v>
      </c>
      <c r="B36" s="59" t="s">
        <v>2803</v>
      </c>
      <c r="C36" s="52">
        <v>0</v>
      </c>
      <c r="D36" s="52">
        <v>25000904</v>
      </c>
      <c r="E36" s="52">
        <v>25000904</v>
      </c>
      <c r="F36" s="27">
        <f t="shared" si="2"/>
        <v>0</v>
      </c>
      <c r="G36" s="52">
        <f aca="true" t="shared" si="10" ref="G36:G57">+F36</f>
        <v>0</v>
      </c>
      <c r="H36" s="53">
        <v>0</v>
      </c>
    </row>
    <row r="37" spans="1:8" ht="12">
      <c r="A37" s="47">
        <v>140102</v>
      </c>
      <c r="B37" s="59" t="s">
        <v>2804</v>
      </c>
      <c r="C37" s="52">
        <v>0</v>
      </c>
      <c r="D37" s="52">
        <v>15051</v>
      </c>
      <c r="E37" s="52">
        <v>15051</v>
      </c>
      <c r="F37" s="27">
        <f t="shared" si="2"/>
        <v>0</v>
      </c>
      <c r="G37" s="52">
        <f t="shared" si="10"/>
        <v>0</v>
      </c>
      <c r="H37" s="53">
        <v>0</v>
      </c>
    </row>
    <row r="38" spans="1:8" ht="12">
      <c r="A38" s="47">
        <v>140113</v>
      </c>
      <c r="B38" s="59" t="s">
        <v>2805</v>
      </c>
      <c r="C38" s="52">
        <v>0</v>
      </c>
      <c r="D38" s="52">
        <v>7827</v>
      </c>
      <c r="E38" s="52">
        <v>7827</v>
      </c>
      <c r="F38" s="27">
        <f t="shared" si="2"/>
        <v>0</v>
      </c>
      <c r="G38" s="52">
        <f t="shared" si="10"/>
        <v>0</v>
      </c>
      <c r="H38" s="53">
        <v>0</v>
      </c>
    </row>
    <row r="39" spans="1:8" ht="12">
      <c r="A39" s="47">
        <v>140190</v>
      </c>
      <c r="B39" s="51" t="s">
        <v>2806</v>
      </c>
      <c r="C39" s="56">
        <v>0</v>
      </c>
      <c r="D39" s="52">
        <v>0</v>
      </c>
      <c r="E39" s="52">
        <v>0</v>
      </c>
      <c r="F39" s="27">
        <f t="shared" si="2"/>
        <v>0</v>
      </c>
      <c r="G39" s="52">
        <f t="shared" si="10"/>
        <v>0</v>
      </c>
      <c r="H39" s="57">
        <v>0</v>
      </c>
    </row>
    <row r="40" spans="1:8" ht="12">
      <c r="A40" s="47">
        <v>140400</v>
      </c>
      <c r="B40" s="48" t="s">
        <v>2787</v>
      </c>
      <c r="C40" s="54">
        <f aca="true" t="shared" si="11" ref="C40:H40">SUM(C41:C43)</f>
        <v>1333738</v>
      </c>
      <c r="D40" s="54">
        <f t="shared" si="11"/>
        <v>38390075</v>
      </c>
      <c r="E40" s="54">
        <f t="shared" si="11"/>
        <v>38855341</v>
      </c>
      <c r="F40" s="54">
        <f t="shared" si="11"/>
        <v>868472</v>
      </c>
      <c r="G40" s="54">
        <f t="shared" si="11"/>
        <v>868472</v>
      </c>
      <c r="H40" s="55">
        <f t="shared" si="11"/>
        <v>0</v>
      </c>
    </row>
    <row r="41" spans="1:8" ht="12">
      <c r="A41" s="47">
        <v>140414</v>
      </c>
      <c r="B41" s="51" t="s">
        <v>2807</v>
      </c>
      <c r="C41" s="56">
        <v>1333738</v>
      </c>
      <c r="D41" s="52">
        <v>37732303</v>
      </c>
      <c r="E41" s="52">
        <v>38197569</v>
      </c>
      <c r="F41" s="27">
        <f t="shared" si="2"/>
        <v>868472</v>
      </c>
      <c r="G41" s="52">
        <f t="shared" si="10"/>
        <v>868472</v>
      </c>
      <c r="H41" s="57">
        <v>0</v>
      </c>
    </row>
    <row r="42" spans="1:8" ht="12">
      <c r="A42" s="47">
        <v>140415</v>
      </c>
      <c r="B42" s="51" t="s">
        <v>2808</v>
      </c>
      <c r="C42" s="56">
        <v>0</v>
      </c>
      <c r="D42" s="52">
        <v>0</v>
      </c>
      <c r="E42" s="52">
        <v>0</v>
      </c>
      <c r="F42" s="27">
        <f t="shared" si="2"/>
        <v>0</v>
      </c>
      <c r="G42" s="52">
        <f t="shared" si="10"/>
        <v>0</v>
      </c>
      <c r="H42" s="57">
        <v>0</v>
      </c>
    </row>
    <row r="43" spans="1:8" ht="22.5">
      <c r="A43" s="47">
        <v>140442</v>
      </c>
      <c r="B43" s="51" t="s">
        <v>2809</v>
      </c>
      <c r="C43" s="56">
        <v>0</v>
      </c>
      <c r="D43" s="52">
        <v>657772</v>
      </c>
      <c r="E43" s="52">
        <v>657772</v>
      </c>
      <c r="F43" s="27">
        <f t="shared" si="2"/>
        <v>0</v>
      </c>
      <c r="G43" s="52">
        <f t="shared" si="10"/>
        <v>0</v>
      </c>
      <c r="H43" s="57">
        <v>0</v>
      </c>
    </row>
    <row r="44" spans="1:8" ht="12">
      <c r="A44" s="47">
        <v>140700</v>
      </c>
      <c r="B44" s="48" t="s">
        <v>2810</v>
      </c>
      <c r="C44" s="54">
        <f aca="true" t="shared" si="12" ref="C44:H44">SUM(C45:C46)</f>
        <v>0</v>
      </c>
      <c r="D44" s="54">
        <f t="shared" si="12"/>
        <v>0</v>
      </c>
      <c r="E44" s="54">
        <f t="shared" si="12"/>
        <v>0</v>
      </c>
      <c r="F44" s="54">
        <f t="shared" si="12"/>
        <v>0</v>
      </c>
      <c r="G44" s="54">
        <f t="shared" si="12"/>
        <v>0</v>
      </c>
      <c r="H44" s="55">
        <f t="shared" si="12"/>
        <v>0</v>
      </c>
    </row>
    <row r="45" spans="1:8" ht="12">
      <c r="A45" s="47">
        <v>140701</v>
      </c>
      <c r="B45" s="51" t="s">
        <v>2811</v>
      </c>
      <c r="C45" s="56">
        <v>0</v>
      </c>
      <c r="D45" s="52">
        <v>0</v>
      </c>
      <c r="E45" s="52">
        <v>0</v>
      </c>
      <c r="F45" s="27">
        <f t="shared" si="2"/>
        <v>0</v>
      </c>
      <c r="G45" s="52">
        <f t="shared" si="10"/>
        <v>0</v>
      </c>
      <c r="H45" s="57">
        <v>0</v>
      </c>
    </row>
    <row r="46" spans="1:8" ht="12">
      <c r="A46" s="47">
        <v>140790</v>
      </c>
      <c r="B46" s="51" t="s">
        <v>2812</v>
      </c>
      <c r="C46" s="56">
        <v>0</v>
      </c>
      <c r="D46" s="52">
        <v>0</v>
      </c>
      <c r="E46" s="52">
        <v>0</v>
      </c>
      <c r="F46" s="27">
        <f t="shared" si="2"/>
        <v>0</v>
      </c>
      <c r="G46" s="52">
        <f t="shared" si="10"/>
        <v>0</v>
      </c>
      <c r="H46" s="57">
        <v>0</v>
      </c>
    </row>
    <row r="47" spans="1:8" ht="12">
      <c r="A47" s="47">
        <v>141300</v>
      </c>
      <c r="B47" s="48" t="s">
        <v>2813</v>
      </c>
      <c r="C47" s="54">
        <f aca="true" t="shared" si="13" ref="C47:H47">SUM(C48)</f>
        <v>0</v>
      </c>
      <c r="D47" s="54">
        <f t="shared" si="13"/>
        <v>0</v>
      </c>
      <c r="E47" s="54">
        <f t="shared" si="13"/>
        <v>0</v>
      </c>
      <c r="F47" s="54">
        <f t="shared" si="13"/>
        <v>0</v>
      </c>
      <c r="G47" s="54">
        <f t="shared" si="13"/>
        <v>0</v>
      </c>
      <c r="H47" s="55">
        <f t="shared" si="13"/>
        <v>0</v>
      </c>
    </row>
    <row r="48" spans="1:8" ht="12">
      <c r="A48" s="47">
        <v>141303</v>
      </c>
      <c r="B48" s="51" t="s">
        <v>2814</v>
      </c>
      <c r="C48" s="56">
        <v>0</v>
      </c>
      <c r="D48" s="52">
        <f>162109-162109</f>
        <v>0</v>
      </c>
      <c r="E48" s="52">
        <v>0</v>
      </c>
      <c r="F48" s="27">
        <f t="shared" si="2"/>
        <v>0</v>
      </c>
      <c r="G48" s="52">
        <f t="shared" si="10"/>
        <v>0</v>
      </c>
      <c r="H48" s="57">
        <v>0</v>
      </c>
    </row>
    <row r="49" spans="1:8" ht="12">
      <c r="A49" s="47">
        <v>141500</v>
      </c>
      <c r="B49" s="48" t="s">
        <v>2815</v>
      </c>
      <c r="C49" s="54">
        <f aca="true" t="shared" si="14" ref="C49:H49">SUM(C50:C51)</f>
        <v>0</v>
      </c>
      <c r="D49" s="54">
        <f t="shared" si="14"/>
        <v>0</v>
      </c>
      <c r="E49" s="54">
        <f t="shared" si="14"/>
        <v>0</v>
      </c>
      <c r="F49" s="54">
        <f t="shared" si="14"/>
        <v>0</v>
      </c>
      <c r="G49" s="54">
        <f t="shared" si="14"/>
        <v>0</v>
      </c>
      <c r="H49" s="55">
        <f t="shared" si="14"/>
        <v>0</v>
      </c>
    </row>
    <row r="50" spans="1:8" ht="12">
      <c r="A50" s="47">
        <v>141507</v>
      </c>
      <c r="B50" s="51" t="s">
        <v>2816</v>
      </c>
      <c r="C50" s="56">
        <v>0</v>
      </c>
      <c r="D50" s="52">
        <f>389136-389136</f>
        <v>0</v>
      </c>
      <c r="E50" s="52">
        <v>0</v>
      </c>
      <c r="F50" s="27">
        <f t="shared" si="2"/>
        <v>0</v>
      </c>
      <c r="G50" s="52">
        <v>0</v>
      </c>
      <c r="H50" s="55">
        <v>0</v>
      </c>
    </row>
    <row r="51" spans="1:8" ht="12">
      <c r="A51" s="47">
        <v>141590</v>
      </c>
      <c r="B51" s="51" t="s">
        <v>2817</v>
      </c>
      <c r="C51" s="56">
        <v>0</v>
      </c>
      <c r="D51" s="52">
        <v>0</v>
      </c>
      <c r="E51" s="52">
        <v>0</v>
      </c>
      <c r="F51" s="27">
        <f t="shared" si="2"/>
        <v>0</v>
      </c>
      <c r="G51" s="52">
        <f t="shared" si="10"/>
        <v>0</v>
      </c>
      <c r="H51" s="57">
        <v>0</v>
      </c>
    </row>
    <row r="52" spans="1:8" ht="12">
      <c r="A52" s="47">
        <v>142000</v>
      </c>
      <c r="B52" s="48" t="s">
        <v>2818</v>
      </c>
      <c r="C52" s="49">
        <f aca="true" t="shared" si="15" ref="C52:H52">SUM(C53:C57)</f>
        <v>227166495</v>
      </c>
      <c r="D52" s="49">
        <f t="shared" si="15"/>
        <v>37587709</v>
      </c>
      <c r="E52" s="49">
        <f t="shared" si="15"/>
        <v>407514</v>
      </c>
      <c r="F52" s="49">
        <f t="shared" si="15"/>
        <v>264346690</v>
      </c>
      <c r="G52" s="49">
        <f t="shared" si="15"/>
        <v>264346690</v>
      </c>
      <c r="H52" s="50">
        <f t="shared" si="15"/>
        <v>0</v>
      </c>
    </row>
    <row r="53" spans="1:8" ht="12">
      <c r="A53" s="47">
        <v>142003</v>
      </c>
      <c r="B53" s="51" t="s">
        <v>2819</v>
      </c>
      <c r="C53" s="52">
        <v>59069693</v>
      </c>
      <c r="D53" s="52">
        <v>7412035</v>
      </c>
      <c r="E53" s="52">
        <v>0</v>
      </c>
      <c r="F53" s="27">
        <f t="shared" si="2"/>
        <v>66481728</v>
      </c>
      <c r="G53" s="52">
        <f t="shared" si="10"/>
        <v>66481728</v>
      </c>
      <c r="H53" s="53">
        <v>0</v>
      </c>
    </row>
    <row r="54" spans="1:8" ht="12">
      <c r="A54" s="47">
        <v>142005</v>
      </c>
      <c r="B54" s="51" t="s">
        <v>2820</v>
      </c>
      <c r="C54" s="52">
        <v>168096802</v>
      </c>
      <c r="D54" s="52">
        <v>30175674</v>
      </c>
      <c r="E54" s="52">
        <v>407514</v>
      </c>
      <c r="F54" s="27">
        <f t="shared" si="2"/>
        <v>197864962</v>
      </c>
      <c r="G54" s="52">
        <f t="shared" si="10"/>
        <v>197864962</v>
      </c>
      <c r="H54" s="53">
        <v>0</v>
      </c>
    </row>
    <row r="55" spans="1:8" ht="12">
      <c r="A55" s="47">
        <v>142012</v>
      </c>
      <c r="B55" s="51" t="s">
        <v>2821</v>
      </c>
      <c r="C55" s="56">
        <v>0</v>
      </c>
      <c r="D55" s="52">
        <f>7850-7850</f>
        <v>0</v>
      </c>
      <c r="E55" s="52">
        <v>0</v>
      </c>
      <c r="F55" s="27">
        <f t="shared" si="2"/>
        <v>0</v>
      </c>
      <c r="G55" s="52">
        <f t="shared" si="10"/>
        <v>0</v>
      </c>
      <c r="H55" s="57">
        <v>0</v>
      </c>
    </row>
    <row r="56" spans="1:8" ht="12">
      <c r="A56" s="47">
        <v>142013</v>
      </c>
      <c r="B56" s="51" t="s">
        <v>2822</v>
      </c>
      <c r="C56" s="56">
        <v>0</v>
      </c>
      <c r="D56" s="52">
        <v>0</v>
      </c>
      <c r="E56" s="52">
        <v>0</v>
      </c>
      <c r="F56" s="27">
        <f t="shared" si="2"/>
        <v>0</v>
      </c>
      <c r="G56" s="52">
        <f t="shared" si="10"/>
        <v>0</v>
      </c>
      <c r="H56" s="57">
        <v>0</v>
      </c>
    </row>
    <row r="57" spans="1:8" ht="12">
      <c r="A57" s="47">
        <v>142090</v>
      </c>
      <c r="B57" s="51" t="s">
        <v>2823</v>
      </c>
      <c r="C57" s="56">
        <v>0</v>
      </c>
      <c r="D57" s="52">
        <v>0</v>
      </c>
      <c r="E57" s="52">
        <v>0</v>
      </c>
      <c r="F57" s="27">
        <f t="shared" si="2"/>
        <v>0</v>
      </c>
      <c r="G57" s="52">
        <f t="shared" si="10"/>
        <v>0</v>
      </c>
      <c r="H57" s="57">
        <v>0</v>
      </c>
    </row>
    <row r="58" spans="1:8" ht="12">
      <c r="A58" s="47">
        <v>142200</v>
      </c>
      <c r="B58" s="48" t="s">
        <v>2824</v>
      </c>
      <c r="C58" s="54">
        <f aca="true" t="shared" si="16" ref="C58:H58">SUM(C59:C60)</f>
        <v>0</v>
      </c>
      <c r="D58" s="54">
        <f t="shared" si="16"/>
        <v>0</v>
      </c>
      <c r="E58" s="54">
        <f t="shared" si="16"/>
        <v>0</v>
      </c>
      <c r="F58" s="54">
        <f t="shared" si="16"/>
        <v>0</v>
      </c>
      <c r="G58" s="54">
        <f t="shared" si="16"/>
        <v>0</v>
      </c>
      <c r="H58" s="55">
        <f t="shared" si="16"/>
        <v>0</v>
      </c>
    </row>
    <row r="59" spans="1:8" ht="12">
      <c r="A59" s="47">
        <v>142204</v>
      </c>
      <c r="B59" s="51" t="s">
        <v>2825</v>
      </c>
      <c r="C59" s="54">
        <v>0</v>
      </c>
      <c r="D59" s="49"/>
      <c r="E59" s="49"/>
      <c r="F59" s="27"/>
      <c r="G59" s="49"/>
      <c r="H59" s="50"/>
    </row>
    <row r="60" spans="1:8" ht="12">
      <c r="A60" s="47">
        <v>142250</v>
      </c>
      <c r="B60" s="51" t="s">
        <v>2826</v>
      </c>
      <c r="C60" s="56">
        <v>0</v>
      </c>
      <c r="D60" s="52">
        <v>0</v>
      </c>
      <c r="E60" s="52">
        <v>0</v>
      </c>
      <c r="F60" s="27">
        <f t="shared" si="2"/>
        <v>0</v>
      </c>
      <c r="G60" s="52">
        <f aca="true" t="shared" si="17" ref="G60:G75">+F60</f>
        <v>0</v>
      </c>
      <c r="H60" s="57">
        <v>0</v>
      </c>
    </row>
    <row r="61" spans="1:8" ht="12">
      <c r="A61" s="47">
        <v>142500</v>
      </c>
      <c r="B61" s="48" t="s">
        <v>2827</v>
      </c>
      <c r="C61" s="49">
        <f aca="true" t="shared" si="18" ref="C61:H61">SUM(C62:C63)</f>
        <v>197280949</v>
      </c>
      <c r="D61" s="49">
        <f t="shared" si="18"/>
        <v>51273315</v>
      </c>
      <c r="E61" s="49">
        <f t="shared" si="18"/>
        <v>37566481</v>
      </c>
      <c r="F61" s="49">
        <f t="shared" si="18"/>
        <v>210987783</v>
      </c>
      <c r="G61" s="49">
        <f t="shared" si="18"/>
        <v>210987783</v>
      </c>
      <c r="H61" s="50">
        <f t="shared" si="18"/>
        <v>0</v>
      </c>
    </row>
    <row r="62" spans="1:8" ht="12">
      <c r="A62" s="47">
        <v>142503</v>
      </c>
      <c r="B62" s="51" t="s">
        <v>2828</v>
      </c>
      <c r="C62" s="52">
        <v>93151068</v>
      </c>
      <c r="D62" s="52">
        <v>4996846</v>
      </c>
      <c r="E62" s="52">
        <v>377429</v>
      </c>
      <c r="F62" s="27">
        <f t="shared" si="2"/>
        <v>97770485</v>
      </c>
      <c r="G62" s="52">
        <f t="shared" si="17"/>
        <v>97770485</v>
      </c>
      <c r="H62" s="53">
        <v>0</v>
      </c>
    </row>
    <row r="63" spans="1:8" ht="12">
      <c r="A63" s="47">
        <v>142504</v>
      </c>
      <c r="B63" s="51" t="s">
        <v>2829</v>
      </c>
      <c r="C63" s="52">
        <v>104129881</v>
      </c>
      <c r="D63" s="52">
        <v>46276469</v>
      </c>
      <c r="E63" s="52">
        <v>37189052</v>
      </c>
      <c r="F63" s="27">
        <f t="shared" si="2"/>
        <v>113217298</v>
      </c>
      <c r="G63" s="52">
        <f t="shared" si="17"/>
        <v>113217298</v>
      </c>
      <c r="H63" s="53">
        <v>0</v>
      </c>
    </row>
    <row r="64" spans="1:8" ht="12">
      <c r="A64" s="47">
        <v>147000</v>
      </c>
      <c r="B64" s="48" t="s">
        <v>2830</v>
      </c>
      <c r="C64" s="49">
        <f aca="true" t="shared" si="19" ref="C64:H64">SUM(C65:C70)</f>
        <v>5293790</v>
      </c>
      <c r="D64" s="49">
        <f t="shared" si="19"/>
        <v>922452</v>
      </c>
      <c r="E64" s="49">
        <f t="shared" si="19"/>
        <v>922452</v>
      </c>
      <c r="F64" s="49">
        <f t="shared" si="19"/>
        <v>5293790</v>
      </c>
      <c r="G64" s="49">
        <f t="shared" si="19"/>
        <v>5293790</v>
      </c>
      <c r="H64" s="50">
        <f t="shared" si="19"/>
        <v>0</v>
      </c>
    </row>
    <row r="65" spans="1:8" ht="12">
      <c r="A65" s="47">
        <v>147002</v>
      </c>
      <c r="B65" s="51" t="s">
        <v>2831</v>
      </c>
      <c r="C65" s="52">
        <v>0</v>
      </c>
      <c r="D65" s="52">
        <v>0</v>
      </c>
      <c r="E65" s="52">
        <v>0</v>
      </c>
      <c r="F65" s="27">
        <f t="shared" si="2"/>
        <v>0</v>
      </c>
      <c r="G65" s="52">
        <f t="shared" si="17"/>
        <v>0</v>
      </c>
      <c r="H65" s="53">
        <v>0</v>
      </c>
    </row>
    <row r="66" spans="1:8" ht="12">
      <c r="A66" s="47">
        <v>147006</v>
      </c>
      <c r="B66" s="51" t="s">
        <v>0</v>
      </c>
      <c r="C66" s="52">
        <v>0</v>
      </c>
      <c r="D66" s="52">
        <v>30513</v>
      </c>
      <c r="E66" s="52">
        <v>30513</v>
      </c>
      <c r="F66" s="27">
        <f t="shared" si="2"/>
        <v>0</v>
      </c>
      <c r="G66" s="52">
        <f t="shared" si="17"/>
        <v>0</v>
      </c>
      <c r="H66" s="53">
        <v>0</v>
      </c>
    </row>
    <row r="67" spans="1:8" ht="12">
      <c r="A67" s="47">
        <v>147013</v>
      </c>
      <c r="B67" s="51" t="s">
        <v>1</v>
      </c>
      <c r="C67" s="52">
        <v>0</v>
      </c>
      <c r="D67" s="52">
        <v>0</v>
      </c>
      <c r="E67" s="52">
        <v>0</v>
      </c>
      <c r="F67" s="27">
        <f t="shared" si="2"/>
        <v>0</v>
      </c>
      <c r="G67" s="52">
        <f t="shared" si="17"/>
        <v>0</v>
      </c>
      <c r="H67" s="50">
        <v>0</v>
      </c>
    </row>
    <row r="68" spans="1:8" ht="12">
      <c r="A68" s="47">
        <v>147028</v>
      </c>
      <c r="B68" s="51" t="s">
        <v>2</v>
      </c>
      <c r="C68" s="52">
        <v>0</v>
      </c>
      <c r="D68" s="52">
        <v>0</v>
      </c>
      <c r="E68" s="52">
        <v>0</v>
      </c>
      <c r="F68" s="27">
        <f t="shared" si="2"/>
        <v>0</v>
      </c>
      <c r="G68" s="52">
        <f t="shared" si="17"/>
        <v>0</v>
      </c>
      <c r="H68" s="50">
        <v>0</v>
      </c>
    </row>
    <row r="69" spans="1:8" ht="12">
      <c r="A69" s="47">
        <v>147064</v>
      </c>
      <c r="B69" s="51" t="s">
        <v>3</v>
      </c>
      <c r="C69" s="52">
        <v>5398</v>
      </c>
      <c r="D69" s="52">
        <v>0</v>
      </c>
      <c r="E69" s="52">
        <v>0</v>
      </c>
      <c r="F69" s="27">
        <f t="shared" si="2"/>
        <v>5398</v>
      </c>
      <c r="G69" s="52">
        <f t="shared" si="17"/>
        <v>5398</v>
      </c>
      <c r="H69" s="50">
        <v>0</v>
      </c>
    </row>
    <row r="70" spans="1:8" ht="12">
      <c r="A70" s="47">
        <v>147090</v>
      </c>
      <c r="B70" s="51" t="s">
        <v>4</v>
      </c>
      <c r="C70" s="52">
        <v>5288392</v>
      </c>
      <c r="D70" s="52">
        <v>891939</v>
      </c>
      <c r="E70" s="52">
        <v>891939</v>
      </c>
      <c r="F70" s="27">
        <f t="shared" si="2"/>
        <v>5288392</v>
      </c>
      <c r="G70" s="52">
        <f t="shared" si="17"/>
        <v>5288392</v>
      </c>
      <c r="H70" s="53">
        <v>0</v>
      </c>
    </row>
    <row r="71" spans="1:8" ht="12">
      <c r="A71" s="47">
        <v>148000</v>
      </c>
      <c r="B71" s="48" t="s">
        <v>5</v>
      </c>
      <c r="C71" s="54">
        <f aca="true" t="shared" si="20" ref="C71:H71">SUM(C72:C75)</f>
        <v>0</v>
      </c>
      <c r="D71" s="54">
        <f t="shared" si="20"/>
        <v>0</v>
      </c>
      <c r="E71" s="54">
        <f t="shared" si="20"/>
        <v>0</v>
      </c>
      <c r="F71" s="54">
        <f t="shared" si="20"/>
        <v>0</v>
      </c>
      <c r="G71" s="54">
        <f t="shared" si="20"/>
        <v>0</v>
      </c>
      <c r="H71" s="55">
        <f t="shared" si="20"/>
        <v>0</v>
      </c>
    </row>
    <row r="72" spans="1:8" ht="12">
      <c r="A72" s="47">
        <v>148006</v>
      </c>
      <c r="B72" s="51" t="s">
        <v>6</v>
      </c>
      <c r="C72" s="56">
        <v>0</v>
      </c>
      <c r="D72" s="52">
        <v>0</v>
      </c>
      <c r="E72" s="52">
        <v>0</v>
      </c>
      <c r="F72" s="27">
        <f t="shared" si="2"/>
        <v>0</v>
      </c>
      <c r="G72" s="52">
        <f t="shared" si="17"/>
        <v>0</v>
      </c>
      <c r="H72" s="57">
        <v>0</v>
      </c>
    </row>
    <row r="73" spans="1:8" ht="12">
      <c r="A73" s="47">
        <v>148009</v>
      </c>
      <c r="B73" s="51" t="s">
        <v>7</v>
      </c>
      <c r="C73" s="56">
        <v>0</v>
      </c>
      <c r="D73" s="52">
        <v>0</v>
      </c>
      <c r="E73" s="52">
        <v>0</v>
      </c>
      <c r="F73" s="27">
        <f t="shared" si="2"/>
        <v>0</v>
      </c>
      <c r="G73" s="52">
        <f t="shared" si="17"/>
        <v>0</v>
      </c>
      <c r="H73" s="57">
        <v>0</v>
      </c>
    </row>
    <row r="74" spans="1:8" ht="12">
      <c r="A74" s="47">
        <v>148012</v>
      </c>
      <c r="B74" s="51" t="s">
        <v>8</v>
      </c>
      <c r="C74" s="56">
        <v>0</v>
      </c>
      <c r="D74" s="52">
        <v>0</v>
      </c>
      <c r="E74" s="52">
        <f>1831-1831</f>
        <v>0</v>
      </c>
      <c r="F74" s="27">
        <f t="shared" si="2"/>
        <v>0</v>
      </c>
      <c r="G74" s="52">
        <f t="shared" si="17"/>
        <v>0</v>
      </c>
      <c r="H74" s="57">
        <v>0</v>
      </c>
    </row>
    <row r="75" spans="1:8" ht="12">
      <c r="A75" s="47">
        <v>148090</v>
      </c>
      <c r="B75" s="51" t="s">
        <v>9</v>
      </c>
      <c r="C75" s="52">
        <v>0</v>
      </c>
      <c r="D75" s="52">
        <v>0</v>
      </c>
      <c r="E75" s="52">
        <v>0</v>
      </c>
      <c r="F75" s="27">
        <f t="shared" si="2"/>
        <v>0</v>
      </c>
      <c r="G75" s="52">
        <f t="shared" si="17"/>
        <v>0</v>
      </c>
      <c r="H75" s="53">
        <v>0</v>
      </c>
    </row>
    <row r="76" spans="1:8" ht="12">
      <c r="A76" s="47">
        <v>160000</v>
      </c>
      <c r="B76" s="48" t="s">
        <v>10</v>
      </c>
      <c r="C76" s="60">
        <f aca="true" t="shared" si="21" ref="C76:H76">C77+C80+C84+C86+C89+C97+C101+C111+C116+C121+C127+C130+C133</f>
        <v>11141191</v>
      </c>
      <c r="D76" s="60">
        <f t="shared" si="21"/>
        <v>1253988</v>
      </c>
      <c r="E76" s="60">
        <f t="shared" si="21"/>
        <v>946565</v>
      </c>
      <c r="F76" s="60">
        <f t="shared" si="21"/>
        <v>11448614</v>
      </c>
      <c r="G76" s="60">
        <f t="shared" si="21"/>
        <v>0</v>
      </c>
      <c r="H76" s="61">
        <f t="shared" si="21"/>
        <v>11448614</v>
      </c>
    </row>
    <row r="77" spans="1:8" ht="12">
      <c r="A77" s="47">
        <v>160500</v>
      </c>
      <c r="B77" s="48" t="s">
        <v>11</v>
      </c>
      <c r="C77" s="60">
        <f aca="true" t="shared" si="22" ref="C77:H77">SUM(C78:C79)</f>
        <v>5284997</v>
      </c>
      <c r="D77" s="60">
        <f t="shared" si="22"/>
        <v>207000</v>
      </c>
      <c r="E77" s="60">
        <f t="shared" si="22"/>
        <v>204000</v>
      </c>
      <c r="F77" s="60">
        <f t="shared" si="22"/>
        <v>5287997</v>
      </c>
      <c r="G77" s="60">
        <f t="shared" si="22"/>
        <v>0</v>
      </c>
      <c r="H77" s="61">
        <f t="shared" si="22"/>
        <v>5287997</v>
      </c>
    </row>
    <row r="78" spans="1:8" ht="12">
      <c r="A78" s="47">
        <v>160501</v>
      </c>
      <c r="B78" s="51" t="s">
        <v>12</v>
      </c>
      <c r="C78" s="62">
        <v>4582430</v>
      </c>
      <c r="D78" s="62">
        <v>207000</v>
      </c>
      <c r="E78" s="62">
        <v>204000</v>
      </c>
      <c r="F78" s="27">
        <f aca="true" t="shared" si="23" ref="F78:F132">+C78+D78-E78</f>
        <v>4585430</v>
      </c>
      <c r="G78" s="62">
        <v>0</v>
      </c>
      <c r="H78" s="63">
        <f>+F78</f>
        <v>4585430</v>
      </c>
    </row>
    <row r="79" spans="1:8" ht="12">
      <c r="A79" s="47">
        <v>160502</v>
      </c>
      <c r="B79" s="51" t="s">
        <v>13</v>
      </c>
      <c r="C79" s="62">
        <v>702567</v>
      </c>
      <c r="D79" s="62">
        <v>0</v>
      </c>
      <c r="E79" s="62">
        <v>0</v>
      </c>
      <c r="F79" s="27">
        <f t="shared" si="23"/>
        <v>702567</v>
      </c>
      <c r="G79" s="62">
        <v>0</v>
      </c>
      <c r="H79" s="63">
        <f>+F79</f>
        <v>702567</v>
      </c>
    </row>
    <row r="80" spans="1:8" ht="12">
      <c r="A80" s="47">
        <v>161500</v>
      </c>
      <c r="B80" s="48" t="s">
        <v>14</v>
      </c>
      <c r="C80" s="60">
        <f aca="true" t="shared" si="24" ref="C80:H80">SUM(C81:C83)</f>
        <v>0</v>
      </c>
      <c r="D80" s="60">
        <f t="shared" si="24"/>
        <v>0</v>
      </c>
      <c r="E80" s="60">
        <f t="shared" si="24"/>
        <v>0</v>
      </c>
      <c r="F80" s="60">
        <f t="shared" si="24"/>
        <v>0</v>
      </c>
      <c r="G80" s="60">
        <f t="shared" si="24"/>
        <v>0</v>
      </c>
      <c r="H80" s="61">
        <f t="shared" si="24"/>
        <v>0</v>
      </c>
    </row>
    <row r="81" spans="1:8" ht="12">
      <c r="A81" s="47">
        <v>161501</v>
      </c>
      <c r="B81" s="51" t="s">
        <v>15</v>
      </c>
      <c r="C81" s="62">
        <v>0</v>
      </c>
      <c r="D81" s="62">
        <v>0</v>
      </c>
      <c r="E81" s="62">
        <v>0</v>
      </c>
      <c r="F81" s="27">
        <f t="shared" si="23"/>
        <v>0</v>
      </c>
      <c r="G81" s="62">
        <v>0</v>
      </c>
      <c r="H81" s="63">
        <f>+F81</f>
        <v>0</v>
      </c>
    </row>
    <row r="82" spans="1:8" ht="12">
      <c r="A82" s="47">
        <v>161505</v>
      </c>
      <c r="B82" s="51" t="s">
        <v>16</v>
      </c>
      <c r="C82" s="62">
        <v>0</v>
      </c>
      <c r="D82" s="62">
        <v>0</v>
      </c>
      <c r="E82" s="62">
        <v>0</v>
      </c>
      <c r="F82" s="27">
        <f t="shared" si="23"/>
        <v>0</v>
      </c>
      <c r="G82" s="62">
        <v>0</v>
      </c>
      <c r="H82" s="63">
        <f>+F82</f>
        <v>0</v>
      </c>
    </row>
    <row r="83" spans="1:8" ht="12">
      <c r="A83" s="47">
        <v>161590</v>
      </c>
      <c r="B83" s="51" t="s">
        <v>17</v>
      </c>
      <c r="C83" s="62">
        <v>0</v>
      </c>
      <c r="D83" s="62">
        <v>0</v>
      </c>
      <c r="E83" s="62">
        <v>0</v>
      </c>
      <c r="F83" s="27">
        <f t="shared" si="23"/>
        <v>0</v>
      </c>
      <c r="G83" s="62">
        <v>0</v>
      </c>
      <c r="H83" s="63">
        <v>0</v>
      </c>
    </row>
    <row r="84" spans="1:8" ht="12">
      <c r="A84" s="47">
        <v>162000</v>
      </c>
      <c r="B84" s="48" t="s">
        <v>18</v>
      </c>
      <c r="C84" s="60">
        <f aca="true" t="shared" si="25" ref="C84:H84">SUM(C85)</f>
        <v>0</v>
      </c>
      <c r="D84" s="60">
        <f t="shared" si="25"/>
        <v>0</v>
      </c>
      <c r="E84" s="60">
        <f t="shared" si="25"/>
        <v>0</v>
      </c>
      <c r="F84" s="60">
        <f t="shared" si="25"/>
        <v>0</v>
      </c>
      <c r="G84" s="60">
        <f t="shared" si="25"/>
        <v>0</v>
      </c>
      <c r="H84" s="61">
        <f t="shared" si="25"/>
        <v>0</v>
      </c>
    </row>
    <row r="85" spans="1:8" ht="12">
      <c r="A85" s="47">
        <v>162005</v>
      </c>
      <c r="B85" s="51" t="s">
        <v>19</v>
      </c>
      <c r="C85" s="62">
        <v>0</v>
      </c>
      <c r="D85" s="62">
        <v>0</v>
      </c>
      <c r="E85" s="62">
        <v>0</v>
      </c>
      <c r="F85" s="27">
        <f t="shared" si="23"/>
        <v>0</v>
      </c>
      <c r="G85" s="62">
        <v>0</v>
      </c>
      <c r="H85" s="63">
        <f aca="true" t="shared" si="26" ref="H85:H140">+F85</f>
        <v>0</v>
      </c>
    </row>
    <row r="86" spans="1:8" ht="12">
      <c r="A86" s="47">
        <v>162500</v>
      </c>
      <c r="B86" s="48" t="s">
        <v>20</v>
      </c>
      <c r="C86" s="60">
        <f aca="true" t="shared" si="27" ref="C86:H86">SUM(C87:C88)</f>
        <v>0</v>
      </c>
      <c r="D86" s="60">
        <f t="shared" si="27"/>
        <v>13529</v>
      </c>
      <c r="E86" s="60">
        <f t="shared" si="27"/>
        <v>13529</v>
      </c>
      <c r="F86" s="60">
        <f t="shared" si="27"/>
        <v>0</v>
      </c>
      <c r="G86" s="60">
        <f t="shared" si="27"/>
        <v>0</v>
      </c>
      <c r="H86" s="61">
        <f t="shared" si="27"/>
        <v>0</v>
      </c>
    </row>
    <row r="87" spans="1:8" ht="12">
      <c r="A87" s="47">
        <v>162505</v>
      </c>
      <c r="B87" s="51" t="s">
        <v>21</v>
      </c>
      <c r="C87" s="62">
        <v>0</v>
      </c>
      <c r="D87" s="62">
        <v>0</v>
      </c>
      <c r="E87" s="62">
        <v>0</v>
      </c>
      <c r="F87" s="27">
        <f t="shared" si="23"/>
        <v>0</v>
      </c>
      <c r="G87" s="62">
        <v>0</v>
      </c>
      <c r="H87" s="63">
        <f t="shared" si="26"/>
        <v>0</v>
      </c>
    </row>
    <row r="88" spans="1:8" ht="12">
      <c r="A88" s="47">
        <v>162507</v>
      </c>
      <c r="B88" s="51" t="s">
        <v>22</v>
      </c>
      <c r="C88" s="62">
        <v>0</v>
      </c>
      <c r="D88" s="62">
        <v>13529</v>
      </c>
      <c r="E88" s="62">
        <v>13529</v>
      </c>
      <c r="F88" s="27">
        <f t="shared" si="23"/>
        <v>0</v>
      </c>
      <c r="G88" s="62">
        <v>0</v>
      </c>
      <c r="H88" s="63">
        <f t="shared" si="26"/>
        <v>0</v>
      </c>
    </row>
    <row r="89" spans="1:8" ht="12">
      <c r="A89" s="47">
        <v>163500</v>
      </c>
      <c r="B89" s="58" t="s">
        <v>23</v>
      </c>
      <c r="C89" s="60">
        <f aca="true" t="shared" si="28" ref="C89:H89">SUM(C90:C96)</f>
        <v>1264959</v>
      </c>
      <c r="D89" s="60">
        <f t="shared" si="28"/>
        <v>290306</v>
      </c>
      <c r="E89" s="60">
        <f t="shared" si="28"/>
        <v>175982</v>
      </c>
      <c r="F89" s="60">
        <f t="shared" si="28"/>
        <v>1379283</v>
      </c>
      <c r="G89" s="60">
        <f t="shared" si="28"/>
        <v>0</v>
      </c>
      <c r="H89" s="61">
        <f t="shared" si="28"/>
        <v>1379283</v>
      </c>
    </row>
    <row r="90" spans="1:8" ht="12">
      <c r="A90" s="47">
        <v>163501</v>
      </c>
      <c r="B90" s="51" t="s">
        <v>24</v>
      </c>
      <c r="C90" s="62">
        <v>444</v>
      </c>
      <c r="D90" s="62">
        <v>67</v>
      </c>
      <c r="E90" s="62">
        <v>67</v>
      </c>
      <c r="F90" s="27">
        <f t="shared" si="23"/>
        <v>444</v>
      </c>
      <c r="G90" s="62">
        <v>0</v>
      </c>
      <c r="H90" s="63">
        <f t="shared" si="26"/>
        <v>444</v>
      </c>
    </row>
    <row r="91" spans="1:8" ht="12">
      <c r="A91" s="47">
        <v>163502</v>
      </c>
      <c r="B91" s="51" t="s">
        <v>25</v>
      </c>
      <c r="C91" s="62">
        <v>0</v>
      </c>
      <c r="D91" s="62">
        <v>0</v>
      </c>
      <c r="E91" s="62">
        <v>0</v>
      </c>
      <c r="F91" s="27">
        <f t="shared" si="23"/>
        <v>0</v>
      </c>
      <c r="G91" s="62">
        <v>0</v>
      </c>
      <c r="H91" s="63">
        <f t="shared" si="26"/>
        <v>0</v>
      </c>
    </row>
    <row r="92" spans="1:8" ht="12">
      <c r="A92" s="47">
        <v>163503</v>
      </c>
      <c r="B92" s="51" t="s">
        <v>22</v>
      </c>
      <c r="C92" s="62">
        <v>30966</v>
      </c>
      <c r="D92" s="62">
        <f>47673-7087</f>
        <v>40586</v>
      </c>
      <c r="E92" s="62">
        <v>15784</v>
      </c>
      <c r="F92" s="27">
        <f t="shared" si="23"/>
        <v>55768</v>
      </c>
      <c r="G92" s="62">
        <v>0</v>
      </c>
      <c r="H92" s="63">
        <f t="shared" si="26"/>
        <v>55768</v>
      </c>
    </row>
    <row r="93" spans="1:8" ht="12">
      <c r="A93" s="47">
        <v>163504</v>
      </c>
      <c r="B93" s="59" t="s">
        <v>21</v>
      </c>
      <c r="C93" s="62">
        <v>1204399</v>
      </c>
      <c r="D93" s="62">
        <f>252823-4208</f>
        <v>248615</v>
      </c>
      <c r="E93" s="62">
        <v>160131</v>
      </c>
      <c r="F93" s="27">
        <f t="shared" si="23"/>
        <v>1292883</v>
      </c>
      <c r="G93" s="62">
        <v>0</v>
      </c>
      <c r="H93" s="63">
        <f t="shared" si="26"/>
        <v>1292883</v>
      </c>
    </row>
    <row r="94" spans="1:8" ht="12">
      <c r="A94" s="47">
        <v>163505</v>
      </c>
      <c r="B94" s="59" t="s">
        <v>26</v>
      </c>
      <c r="C94" s="62">
        <v>29120</v>
      </c>
      <c r="D94" s="62">
        <v>0</v>
      </c>
      <c r="E94" s="62">
        <v>0</v>
      </c>
      <c r="F94" s="27">
        <f t="shared" si="23"/>
        <v>29120</v>
      </c>
      <c r="G94" s="62">
        <v>0</v>
      </c>
      <c r="H94" s="63">
        <f t="shared" si="26"/>
        <v>29120</v>
      </c>
    </row>
    <row r="95" spans="1:8" ht="12">
      <c r="A95" s="47">
        <v>163511</v>
      </c>
      <c r="B95" s="64" t="s">
        <v>27</v>
      </c>
      <c r="C95" s="62">
        <v>30</v>
      </c>
      <c r="D95" s="62">
        <v>1038</v>
      </c>
      <c r="E95" s="62">
        <v>0</v>
      </c>
      <c r="F95" s="27">
        <f t="shared" si="23"/>
        <v>1068</v>
      </c>
      <c r="G95" s="62">
        <v>0</v>
      </c>
      <c r="H95" s="63">
        <f t="shared" si="26"/>
        <v>1068</v>
      </c>
    </row>
    <row r="96" spans="1:8" ht="12">
      <c r="A96" s="47">
        <v>163599</v>
      </c>
      <c r="B96" s="64" t="s">
        <v>28</v>
      </c>
      <c r="C96" s="62">
        <v>0</v>
      </c>
      <c r="D96" s="62">
        <v>0</v>
      </c>
      <c r="E96" s="62">
        <v>0</v>
      </c>
      <c r="F96" s="27">
        <f t="shared" si="23"/>
        <v>0</v>
      </c>
      <c r="G96" s="62">
        <v>0</v>
      </c>
      <c r="H96" s="63">
        <f t="shared" si="26"/>
        <v>0</v>
      </c>
    </row>
    <row r="97" spans="1:8" ht="12">
      <c r="A97" s="47">
        <v>164000</v>
      </c>
      <c r="B97" s="65" t="s">
        <v>29</v>
      </c>
      <c r="C97" s="60">
        <f aca="true" t="shared" si="29" ref="C97:H97">SUM(C98:C100)</f>
        <v>5403665</v>
      </c>
      <c r="D97" s="60">
        <f t="shared" si="29"/>
        <v>349000</v>
      </c>
      <c r="E97" s="60">
        <f t="shared" si="29"/>
        <v>0</v>
      </c>
      <c r="F97" s="60">
        <f t="shared" si="29"/>
        <v>5752665</v>
      </c>
      <c r="G97" s="60">
        <f t="shared" si="29"/>
        <v>0</v>
      </c>
      <c r="H97" s="61">
        <f t="shared" si="29"/>
        <v>5752665</v>
      </c>
    </row>
    <row r="98" spans="1:8" ht="12">
      <c r="A98" s="47">
        <v>164001</v>
      </c>
      <c r="B98" s="66" t="s">
        <v>30</v>
      </c>
      <c r="C98" s="62">
        <v>5403665</v>
      </c>
      <c r="D98" s="62">
        <f>1223888-874888</f>
        <v>349000</v>
      </c>
      <c r="E98" s="62">
        <v>0</v>
      </c>
      <c r="F98" s="27">
        <f t="shared" si="23"/>
        <v>5752665</v>
      </c>
      <c r="G98" s="62">
        <v>0</v>
      </c>
      <c r="H98" s="63">
        <f t="shared" si="26"/>
        <v>5752665</v>
      </c>
    </row>
    <row r="99" spans="1:8" ht="12">
      <c r="A99" s="47">
        <v>164002</v>
      </c>
      <c r="B99" s="66" t="s">
        <v>31</v>
      </c>
      <c r="C99" s="62">
        <v>0</v>
      </c>
      <c r="D99" s="62">
        <v>0</v>
      </c>
      <c r="E99" s="62">
        <v>0</v>
      </c>
      <c r="F99" s="27">
        <f t="shared" si="23"/>
        <v>0</v>
      </c>
      <c r="G99" s="62">
        <v>0</v>
      </c>
      <c r="H99" s="63">
        <f t="shared" si="26"/>
        <v>0</v>
      </c>
    </row>
    <row r="100" spans="1:8" ht="12">
      <c r="A100" s="47">
        <v>164099</v>
      </c>
      <c r="B100" s="64" t="s">
        <v>28</v>
      </c>
      <c r="C100" s="62">
        <v>0</v>
      </c>
      <c r="D100" s="62">
        <v>0</v>
      </c>
      <c r="E100" s="62">
        <v>0</v>
      </c>
      <c r="F100" s="27">
        <f t="shared" si="23"/>
        <v>0</v>
      </c>
      <c r="G100" s="62">
        <v>0</v>
      </c>
      <c r="H100" s="63">
        <f t="shared" si="26"/>
        <v>0</v>
      </c>
    </row>
    <row r="101" spans="1:8" ht="12">
      <c r="A101" s="47">
        <v>165500</v>
      </c>
      <c r="B101" s="65" t="s">
        <v>32</v>
      </c>
      <c r="C101" s="60">
        <f aca="true" t="shared" si="30" ref="C101:H101">SUM(C102:C110)</f>
        <v>17462</v>
      </c>
      <c r="D101" s="60">
        <f t="shared" si="30"/>
        <v>4331</v>
      </c>
      <c r="E101" s="60">
        <f t="shared" si="30"/>
        <v>4331</v>
      </c>
      <c r="F101" s="60">
        <f t="shared" si="30"/>
        <v>17462</v>
      </c>
      <c r="G101" s="60">
        <f t="shared" si="30"/>
        <v>0</v>
      </c>
      <c r="H101" s="61">
        <f t="shared" si="30"/>
        <v>17462</v>
      </c>
    </row>
    <row r="102" spans="1:8" ht="12">
      <c r="A102" s="47">
        <v>165501</v>
      </c>
      <c r="B102" s="64" t="s">
        <v>33</v>
      </c>
      <c r="C102" s="62">
        <v>2636</v>
      </c>
      <c r="D102" s="62">
        <v>0</v>
      </c>
      <c r="E102" s="62">
        <v>0</v>
      </c>
      <c r="F102" s="27">
        <f t="shared" si="23"/>
        <v>2636</v>
      </c>
      <c r="G102" s="62">
        <v>0</v>
      </c>
      <c r="H102" s="63">
        <f t="shared" si="26"/>
        <v>2636</v>
      </c>
    </row>
    <row r="103" spans="1:8" ht="12">
      <c r="A103" s="47">
        <v>165504</v>
      </c>
      <c r="B103" s="64" t="s">
        <v>34</v>
      </c>
      <c r="C103" s="62">
        <v>0</v>
      </c>
      <c r="D103" s="62">
        <v>0</v>
      </c>
      <c r="E103" s="62">
        <v>0</v>
      </c>
      <c r="F103" s="27">
        <f t="shared" si="23"/>
        <v>0</v>
      </c>
      <c r="G103" s="62">
        <v>0</v>
      </c>
      <c r="H103" s="63">
        <f t="shared" si="26"/>
        <v>0</v>
      </c>
    </row>
    <row r="104" spans="1:8" ht="12">
      <c r="A104" s="47">
        <v>165505</v>
      </c>
      <c r="B104" s="64" t="s">
        <v>35</v>
      </c>
      <c r="C104" s="62">
        <v>5498</v>
      </c>
      <c r="D104" s="62">
        <v>0</v>
      </c>
      <c r="E104" s="62">
        <v>0</v>
      </c>
      <c r="F104" s="27">
        <f t="shared" si="23"/>
        <v>5498</v>
      </c>
      <c r="G104" s="62">
        <v>0</v>
      </c>
      <c r="H104" s="63">
        <f t="shared" si="26"/>
        <v>5498</v>
      </c>
    </row>
    <row r="105" spans="1:8" ht="12">
      <c r="A105" s="47">
        <v>165506</v>
      </c>
      <c r="B105" s="66" t="s">
        <v>36</v>
      </c>
      <c r="C105" s="62">
        <v>5516</v>
      </c>
      <c r="D105" s="62">
        <f>300544-300544</f>
        <v>0</v>
      </c>
      <c r="E105" s="62">
        <v>0</v>
      </c>
      <c r="F105" s="27">
        <f t="shared" si="23"/>
        <v>5516</v>
      </c>
      <c r="G105" s="62">
        <v>0</v>
      </c>
      <c r="H105" s="63">
        <f t="shared" si="26"/>
        <v>5516</v>
      </c>
    </row>
    <row r="106" spans="1:8" ht="12">
      <c r="A106" s="47">
        <v>165509</v>
      </c>
      <c r="B106" s="66" t="s">
        <v>37</v>
      </c>
      <c r="C106" s="62">
        <v>0</v>
      </c>
      <c r="D106" s="62">
        <f>517815-517815</f>
        <v>0</v>
      </c>
      <c r="E106" s="62">
        <v>0</v>
      </c>
      <c r="F106" s="27">
        <f t="shared" si="23"/>
        <v>0</v>
      </c>
      <c r="G106" s="62">
        <v>0</v>
      </c>
      <c r="H106" s="63">
        <f t="shared" si="26"/>
        <v>0</v>
      </c>
    </row>
    <row r="107" spans="1:8" ht="12">
      <c r="A107" s="47">
        <v>165510</v>
      </c>
      <c r="B107" s="64" t="s">
        <v>38</v>
      </c>
      <c r="C107" s="62">
        <v>3812</v>
      </c>
      <c r="D107" s="62">
        <v>0</v>
      </c>
      <c r="E107" s="62">
        <v>0</v>
      </c>
      <c r="F107" s="27">
        <f t="shared" si="23"/>
        <v>3812</v>
      </c>
      <c r="G107" s="62">
        <v>0</v>
      </c>
      <c r="H107" s="63">
        <f t="shared" si="26"/>
        <v>3812</v>
      </c>
    </row>
    <row r="108" spans="1:8" ht="12">
      <c r="A108" s="47">
        <v>165511</v>
      </c>
      <c r="B108" s="64" t="s">
        <v>39</v>
      </c>
      <c r="C108" s="62">
        <v>0</v>
      </c>
      <c r="D108" s="62">
        <v>67</v>
      </c>
      <c r="E108" s="62">
        <v>67</v>
      </c>
      <c r="F108" s="27">
        <f t="shared" si="23"/>
        <v>0</v>
      </c>
      <c r="G108" s="62">
        <v>0</v>
      </c>
      <c r="H108" s="63">
        <f t="shared" si="26"/>
        <v>0</v>
      </c>
    </row>
    <row r="109" spans="1:8" ht="12">
      <c r="A109" s="47">
        <v>165590</v>
      </c>
      <c r="B109" s="64" t="s">
        <v>40</v>
      </c>
      <c r="C109" s="62">
        <v>0</v>
      </c>
      <c r="D109" s="62">
        <v>4264</v>
      </c>
      <c r="E109" s="62">
        <v>4264</v>
      </c>
      <c r="F109" s="27">
        <f t="shared" si="23"/>
        <v>0</v>
      </c>
      <c r="G109" s="62">
        <v>0</v>
      </c>
      <c r="H109" s="63">
        <f t="shared" si="26"/>
        <v>0</v>
      </c>
    </row>
    <row r="110" spans="1:8" ht="12">
      <c r="A110" s="47">
        <v>165599</v>
      </c>
      <c r="B110" s="64" t="s">
        <v>28</v>
      </c>
      <c r="C110" s="62">
        <v>0</v>
      </c>
      <c r="D110" s="62">
        <v>0</v>
      </c>
      <c r="E110" s="62">
        <v>0</v>
      </c>
      <c r="F110" s="27">
        <f t="shared" si="23"/>
        <v>0</v>
      </c>
      <c r="G110" s="62">
        <v>0</v>
      </c>
      <c r="H110" s="63">
        <f t="shared" si="26"/>
        <v>0</v>
      </c>
    </row>
    <row r="111" spans="1:8" ht="12">
      <c r="A111" s="47">
        <v>166000</v>
      </c>
      <c r="B111" s="65" t="s">
        <v>41</v>
      </c>
      <c r="C111" s="60">
        <f aca="true" t="shared" si="31" ref="C111:H111">SUM(C112:C115)</f>
        <v>0</v>
      </c>
      <c r="D111" s="60">
        <f t="shared" si="31"/>
        <v>0</v>
      </c>
      <c r="E111" s="60">
        <f t="shared" si="31"/>
        <v>0</v>
      </c>
      <c r="F111" s="60">
        <f t="shared" si="31"/>
        <v>0</v>
      </c>
      <c r="G111" s="60">
        <f t="shared" si="31"/>
        <v>0</v>
      </c>
      <c r="H111" s="61">
        <f t="shared" si="31"/>
        <v>0</v>
      </c>
    </row>
    <row r="112" spans="1:8" ht="12">
      <c r="A112" s="47">
        <v>166001</v>
      </c>
      <c r="B112" s="64" t="s">
        <v>42</v>
      </c>
      <c r="C112" s="62">
        <v>0</v>
      </c>
      <c r="D112" s="62">
        <v>0</v>
      </c>
      <c r="E112" s="62">
        <v>0</v>
      </c>
      <c r="F112" s="27">
        <f t="shared" si="23"/>
        <v>0</v>
      </c>
      <c r="G112" s="62">
        <v>0</v>
      </c>
      <c r="H112" s="63">
        <f t="shared" si="26"/>
        <v>0</v>
      </c>
    </row>
    <row r="113" spans="1:8" ht="12">
      <c r="A113" s="47">
        <v>166002</v>
      </c>
      <c r="B113" s="64" t="s">
        <v>43</v>
      </c>
      <c r="C113" s="62">
        <v>0</v>
      </c>
      <c r="D113" s="62">
        <f>420833-420833</f>
        <v>0</v>
      </c>
      <c r="E113" s="62">
        <v>0</v>
      </c>
      <c r="F113" s="27">
        <f t="shared" si="23"/>
        <v>0</v>
      </c>
      <c r="G113" s="62">
        <v>0</v>
      </c>
      <c r="H113" s="63">
        <f t="shared" si="26"/>
        <v>0</v>
      </c>
    </row>
    <row r="114" spans="1:8" ht="12">
      <c r="A114" s="47">
        <v>166003</v>
      </c>
      <c r="B114" s="64" t="s">
        <v>44</v>
      </c>
      <c r="C114" s="62">
        <v>0</v>
      </c>
      <c r="D114" s="62">
        <v>0</v>
      </c>
      <c r="E114" s="62">
        <v>0</v>
      </c>
      <c r="F114" s="27">
        <f t="shared" si="23"/>
        <v>0</v>
      </c>
      <c r="G114" s="62">
        <v>0</v>
      </c>
      <c r="H114" s="63">
        <f t="shared" si="26"/>
        <v>0</v>
      </c>
    </row>
    <row r="115" spans="1:8" ht="12">
      <c r="A115" s="47">
        <v>166099</v>
      </c>
      <c r="B115" s="64" t="s">
        <v>28</v>
      </c>
      <c r="C115" s="62">
        <v>0</v>
      </c>
      <c r="D115" s="62">
        <v>0</v>
      </c>
      <c r="E115" s="62">
        <v>0</v>
      </c>
      <c r="F115" s="27">
        <f t="shared" si="23"/>
        <v>0</v>
      </c>
      <c r="G115" s="62">
        <v>0</v>
      </c>
      <c r="H115" s="63">
        <f t="shared" si="26"/>
        <v>0</v>
      </c>
    </row>
    <row r="116" spans="1:8" ht="12">
      <c r="A116" s="47">
        <v>166500</v>
      </c>
      <c r="B116" s="65" t="s">
        <v>45</v>
      </c>
      <c r="C116" s="60">
        <f aca="true" t="shared" si="32" ref="C116:H116">SUM(C117:C120)</f>
        <v>1021419</v>
      </c>
      <c r="D116" s="60">
        <f t="shared" si="32"/>
        <v>15784</v>
      </c>
      <c r="E116" s="60">
        <f t="shared" si="32"/>
        <v>27055</v>
      </c>
      <c r="F116" s="60">
        <f t="shared" si="32"/>
        <v>1010148</v>
      </c>
      <c r="G116" s="60">
        <f t="shared" si="32"/>
        <v>0</v>
      </c>
      <c r="H116" s="61">
        <f t="shared" si="32"/>
        <v>1010148</v>
      </c>
    </row>
    <row r="117" spans="1:8" ht="12">
      <c r="A117" s="47">
        <v>166501</v>
      </c>
      <c r="B117" s="51" t="s">
        <v>46</v>
      </c>
      <c r="C117" s="62">
        <v>973111</v>
      </c>
      <c r="D117" s="62">
        <f>707640-691856</f>
        <v>15784</v>
      </c>
      <c r="E117" s="62">
        <v>26531</v>
      </c>
      <c r="F117" s="27">
        <f t="shared" si="23"/>
        <v>962364</v>
      </c>
      <c r="G117" s="62">
        <v>0</v>
      </c>
      <c r="H117" s="63">
        <f t="shared" si="26"/>
        <v>962364</v>
      </c>
    </row>
    <row r="118" spans="1:8" ht="12">
      <c r="A118" s="47">
        <v>166502</v>
      </c>
      <c r="B118" s="51" t="s">
        <v>47</v>
      </c>
      <c r="C118" s="62">
        <v>48308</v>
      </c>
      <c r="D118" s="62">
        <f>80771-80771</f>
        <v>0</v>
      </c>
      <c r="E118" s="62">
        <v>524</v>
      </c>
      <c r="F118" s="27">
        <f t="shared" si="23"/>
        <v>47784</v>
      </c>
      <c r="G118" s="62">
        <v>0</v>
      </c>
      <c r="H118" s="63">
        <f t="shared" si="26"/>
        <v>47784</v>
      </c>
    </row>
    <row r="119" spans="1:8" ht="12">
      <c r="A119" s="47">
        <v>166590</v>
      </c>
      <c r="B119" s="51" t="s">
        <v>48</v>
      </c>
      <c r="C119" s="62">
        <v>0</v>
      </c>
      <c r="D119" s="62">
        <v>0</v>
      </c>
      <c r="E119" s="62">
        <v>0</v>
      </c>
      <c r="F119" s="27">
        <f t="shared" si="23"/>
        <v>0</v>
      </c>
      <c r="G119" s="62">
        <v>0</v>
      </c>
      <c r="H119" s="63">
        <f t="shared" si="26"/>
        <v>0</v>
      </c>
    </row>
    <row r="120" spans="1:8" ht="12">
      <c r="A120" s="47">
        <v>166599</v>
      </c>
      <c r="B120" s="64" t="s">
        <v>49</v>
      </c>
      <c r="C120" s="62">
        <v>0</v>
      </c>
      <c r="D120" s="62">
        <v>0</v>
      </c>
      <c r="E120" s="62">
        <v>0</v>
      </c>
      <c r="F120" s="27">
        <f t="shared" si="23"/>
        <v>0</v>
      </c>
      <c r="G120" s="62">
        <v>0</v>
      </c>
      <c r="H120" s="63">
        <f t="shared" si="26"/>
        <v>0</v>
      </c>
    </row>
    <row r="121" spans="1:8" ht="12">
      <c r="A121" s="47">
        <v>167000</v>
      </c>
      <c r="B121" s="67" t="s">
        <v>50</v>
      </c>
      <c r="C121" s="60">
        <f aca="true" t="shared" si="33" ref="C121:H121">SUM(C122:C126)</f>
        <v>1788921</v>
      </c>
      <c r="D121" s="60">
        <f t="shared" si="33"/>
        <v>135165</v>
      </c>
      <c r="E121" s="60">
        <f t="shared" si="33"/>
        <v>48156</v>
      </c>
      <c r="F121" s="60">
        <f t="shared" si="33"/>
        <v>1875930</v>
      </c>
      <c r="G121" s="60">
        <f t="shared" si="33"/>
        <v>0</v>
      </c>
      <c r="H121" s="61">
        <f t="shared" si="33"/>
        <v>1875930</v>
      </c>
    </row>
    <row r="122" spans="1:8" ht="12">
      <c r="A122" s="47">
        <v>167001</v>
      </c>
      <c r="B122" s="64" t="s">
        <v>51</v>
      </c>
      <c r="C122" s="52">
        <v>109147</v>
      </c>
      <c r="D122" s="52">
        <f>57340-46692</f>
        <v>10648</v>
      </c>
      <c r="E122" s="52">
        <v>1199</v>
      </c>
      <c r="F122" s="27">
        <f t="shared" si="23"/>
        <v>118596</v>
      </c>
      <c r="G122" s="52">
        <v>0</v>
      </c>
      <c r="H122" s="63">
        <f t="shared" si="26"/>
        <v>118596</v>
      </c>
    </row>
    <row r="123" spans="1:8" ht="12">
      <c r="A123" s="47">
        <v>167002</v>
      </c>
      <c r="B123" s="64" t="s">
        <v>52</v>
      </c>
      <c r="C123" s="52">
        <v>1679774</v>
      </c>
      <c r="D123" s="52">
        <f>724915-600398</f>
        <v>124517</v>
      </c>
      <c r="E123" s="52">
        <v>46957</v>
      </c>
      <c r="F123" s="27">
        <f t="shared" si="23"/>
        <v>1757334</v>
      </c>
      <c r="G123" s="52">
        <v>0</v>
      </c>
      <c r="H123" s="63">
        <f t="shared" si="26"/>
        <v>1757334</v>
      </c>
    </row>
    <row r="124" spans="1:8" ht="12">
      <c r="A124" s="47">
        <v>167003</v>
      </c>
      <c r="B124" s="64" t="s">
        <v>53</v>
      </c>
      <c r="C124" s="52">
        <v>0</v>
      </c>
      <c r="D124" s="52">
        <v>0</v>
      </c>
      <c r="E124" s="52">
        <v>0</v>
      </c>
      <c r="F124" s="27">
        <f t="shared" si="23"/>
        <v>0</v>
      </c>
      <c r="G124" s="52">
        <v>0</v>
      </c>
      <c r="H124" s="63">
        <f t="shared" si="26"/>
        <v>0</v>
      </c>
    </row>
    <row r="125" spans="1:8" ht="12">
      <c r="A125" s="47">
        <v>167090</v>
      </c>
      <c r="B125" s="64" t="s">
        <v>54</v>
      </c>
      <c r="C125" s="52">
        <v>0</v>
      </c>
      <c r="D125" s="52">
        <v>0</v>
      </c>
      <c r="E125" s="52">
        <v>0</v>
      </c>
      <c r="F125" s="27">
        <f t="shared" si="23"/>
        <v>0</v>
      </c>
      <c r="G125" s="52">
        <v>0</v>
      </c>
      <c r="H125" s="63">
        <f t="shared" si="26"/>
        <v>0</v>
      </c>
    </row>
    <row r="126" spans="1:8" ht="12">
      <c r="A126" s="47">
        <v>167099</v>
      </c>
      <c r="B126" s="64" t="s">
        <v>55</v>
      </c>
      <c r="C126" s="52">
        <v>0</v>
      </c>
      <c r="D126" s="52">
        <v>0</v>
      </c>
      <c r="E126" s="52">
        <v>0</v>
      </c>
      <c r="F126" s="27">
        <f t="shared" si="23"/>
        <v>0</v>
      </c>
      <c r="G126" s="52">
        <v>0</v>
      </c>
      <c r="H126" s="63">
        <f t="shared" si="26"/>
        <v>0</v>
      </c>
    </row>
    <row r="127" spans="1:8" ht="12">
      <c r="A127" s="47">
        <v>167500</v>
      </c>
      <c r="B127" s="65" t="s">
        <v>56</v>
      </c>
      <c r="C127" s="49">
        <f aca="true" t="shared" si="34" ref="C127:H127">SUM(C128:C129)</f>
        <v>410698</v>
      </c>
      <c r="D127" s="49">
        <f t="shared" si="34"/>
        <v>0</v>
      </c>
      <c r="E127" s="49">
        <f t="shared" si="34"/>
        <v>0</v>
      </c>
      <c r="F127" s="49">
        <f t="shared" si="34"/>
        <v>410698</v>
      </c>
      <c r="G127" s="49">
        <f t="shared" si="34"/>
        <v>0</v>
      </c>
      <c r="H127" s="50">
        <f t="shared" si="34"/>
        <v>410698</v>
      </c>
    </row>
    <row r="128" spans="1:8" ht="12">
      <c r="A128" s="47">
        <v>167502</v>
      </c>
      <c r="B128" s="64" t="s">
        <v>57</v>
      </c>
      <c r="C128" s="52">
        <v>410698</v>
      </c>
      <c r="D128" s="52">
        <f>55662-55662</f>
        <v>0</v>
      </c>
      <c r="E128" s="52">
        <v>0</v>
      </c>
      <c r="F128" s="27">
        <f t="shared" si="23"/>
        <v>410698</v>
      </c>
      <c r="G128" s="52">
        <v>0</v>
      </c>
      <c r="H128" s="63">
        <f t="shared" si="26"/>
        <v>410698</v>
      </c>
    </row>
    <row r="129" spans="1:8" ht="12">
      <c r="A129" s="47">
        <v>167599</v>
      </c>
      <c r="B129" s="66" t="s">
        <v>28</v>
      </c>
      <c r="C129" s="52">
        <v>0</v>
      </c>
      <c r="D129" s="52">
        <v>0</v>
      </c>
      <c r="E129" s="52">
        <v>0</v>
      </c>
      <c r="F129" s="27">
        <f t="shared" si="23"/>
        <v>0</v>
      </c>
      <c r="G129" s="52">
        <v>0</v>
      </c>
      <c r="H129" s="63">
        <f t="shared" si="26"/>
        <v>0</v>
      </c>
    </row>
    <row r="130" spans="1:8" ht="12">
      <c r="A130" s="47">
        <v>168000</v>
      </c>
      <c r="B130" s="68" t="s">
        <v>58</v>
      </c>
      <c r="C130" s="49">
        <f aca="true" t="shared" si="35" ref="C130:H130">SUM(C131:C132)</f>
        <v>7607</v>
      </c>
      <c r="D130" s="49">
        <f t="shared" si="35"/>
        <v>0</v>
      </c>
      <c r="E130" s="49">
        <f t="shared" si="35"/>
        <v>1038</v>
      </c>
      <c r="F130" s="49">
        <f t="shared" si="35"/>
        <v>6569</v>
      </c>
      <c r="G130" s="49">
        <f t="shared" si="35"/>
        <v>0</v>
      </c>
      <c r="H130" s="50">
        <f t="shared" si="35"/>
        <v>6569</v>
      </c>
    </row>
    <row r="131" spans="1:8" ht="12">
      <c r="A131" s="47">
        <v>168002</v>
      </c>
      <c r="B131" s="66" t="s">
        <v>59</v>
      </c>
      <c r="C131" s="52">
        <v>7607</v>
      </c>
      <c r="D131" s="52">
        <f>57951-57951</f>
        <v>0</v>
      </c>
      <c r="E131" s="52">
        <v>1038</v>
      </c>
      <c r="F131" s="27">
        <f t="shared" si="23"/>
        <v>6569</v>
      </c>
      <c r="G131" s="52">
        <v>0</v>
      </c>
      <c r="H131" s="63">
        <f t="shared" si="26"/>
        <v>6569</v>
      </c>
    </row>
    <row r="132" spans="1:8" ht="12">
      <c r="A132" s="47">
        <v>168099</v>
      </c>
      <c r="B132" s="66" t="s">
        <v>28</v>
      </c>
      <c r="C132" s="52">
        <v>0</v>
      </c>
      <c r="D132" s="52">
        <v>0</v>
      </c>
      <c r="E132" s="52">
        <v>0</v>
      </c>
      <c r="F132" s="27">
        <f t="shared" si="23"/>
        <v>0</v>
      </c>
      <c r="G132" s="52">
        <v>0</v>
      </c>
      <c r="H132" s="63">
        <f t="shared" si="26"/>
        <v>0</v>
      </c>
    </row>
    <row r="133" spans="1:8" ht="12">
      <c r="A133" s="47">
        <v>168500</v>
      </c>
      <c r="B133" s="67" t="s">
        <v>60</v>
      </c>
      <c r="C133" s="69">
        <f aca="true" t="shared" si="36" ref="C133:H133">SUM(C134:C141)</f>
        <v>-4058537</v>
      </c>
      <c r="D133" s="69">
        <f t="shared" si="36"/>
        <v>238873</v>
      </c>
      <c r="E133" s="69">
        <f t="shared" si="36"/>
        <v>472474</v>
      </c>
      <c r="F133" s="69">
        <f t="shared" si="36"/>
        <v>-4292138</v>
      </c>
      <c r="G133" s="69">
        <f t="shared" si="36"/>
        <v>0</v>
      </c>
      <c r="H133" s="70">
        <f t="shared" si="36"/>
        <v>-4292138</v>
      </c>
    </row>
    <row r="134" spans="1:8" ht="12">
      <c r="A134" s="47">
        <v>168501</v>
      </c>
      <c r="B134" s="66" t="s">
        <v>61</v>
      </c>
      <c r="C134" s="62">
        <v>-1621099</v>
      </c>
      <c r="D134" s="62">
        <v>238873</v>
      </c>
      <c r="E134" s="62">
        <v>338271</v>
      </c>
      <c r="F134" s="27">
        <f>C134+D134-E134</f>
        <v>-1720497</v>
      </c>
      <c r="G134" s="62">
        <v>0</v>
      </c>
      <c r="H134" s="63">
        <f t="shared" si="26"/>
        <v>-1720497</v>
      </c>
    </row>
    <row r="135" spans="1:8" ht="12">
      <c r="A135" s="47">
        <v>168504</v>
      </c>
      <c r="B135" s="66" t="s">
        <v>24</v>
      </c>
      <c r="C135" s="62">
        <v>-13461</v>
      </c>
      <c r="D135" s="62">
        <v>0</v>
      </c>
      <c r="E135" s="62">
        <f>367556-367276</f>
        <v>280</v>
      </c>
      <c r="F135" s="27">
        <f aca="true" t="shared" si="37" ref="F135:F140">C135+D135-E135</f>
        <v>-13741</v>
      </c>
      <c r="G135" s="62">
        <v>0</v>
      </c>
      <c r="H135" s="63">
        <f t="shared" si="26"/>
        <v>-13741</v>
      </c>
    </row>
    <row r="136" spans="1:8" ht="12">
      <c r="A136" s="47">
        <v>168505</v>
      </c>
      <c r="B136" s="66" t="s">
        <v>62</v>
      </c>
      <c r="C136" s="62">
        <v>0</v>
      </c>
      <c r="D136" s="62">
        <v>0</v>
      </c>
      <c r="E136" s="62">
        <f>150928-150928</f>
        <v>0</v>
      </c>
      <c r="F136" s="27">
        <f t="shared" si="37"/>
        <v>0</v>
      </c>
      <c r="G136" s="62">
        <v>0</v>
      </c>
      <c r="H136" s="63">
        <f t="shared" si="26"/>
        <v>0</v>
      </c>
    </row>
    <row r="137" spans="1:8" ht="12">
      <c r="A137" s="47">
        <v>168506</v>
      </c>
      <c r="B137" s="66" t="s">
        <v>63</v>
      </c>
      <c r="C137" s="62">
        <v>-997643</v>
      </c>
      <c r="D137" s="62">
        <v>0</v>
      </c>
      <c r="E137" s="62">
        <f>268279-256676</f>
        <v>11603</v>
      </c>
      <c r="F137" s="27">
        <f t="shared" si="37"/>
        <v>-1009246</v>
      </c>
      <c r="G137" s="62">
        <v>0</v>
      </c>
      <c r="H137" s="63">
        <f t="shared" si="26"/>
        <v>-1009246</v>
      </c>
    </row>
    <row r="138" spans="1:8" ht="12">
      <c r="A138" s="47">
        <v>168507</v>
      </c>
      <c r="B138" s="66" t="s">
        <v>21</v>
      </c>
      <c r="C138" s="62">
        <v>-1262936</v>
      </c>
      <c r="D138" s="62">
        <v>0</v>
      </c>
      <c r="E138" s="62">
        <f>526338-420189</f>
        <v>106149</v>
      </c>
      <c r="F138" s="27">
        <f t="shared" si="37"/>
        <v>-1369085</v>
      </c>
      <c r="G138" s="62">
        <v>0</v>
      </c>
      <c r="H138" s="63">
        <f t="shared" si="26"/>
        <v>-1369085</v>
      </c>
    </row>
    <row r="139" spans="1:8" ht="12">
      <c r="A139" s="47">
        <v>168508</v>
      </c>
      <c r="B139" s="66" t="s">
        <v>64</v>
      </c>
      <c r="C139" s="62">
        <v>-156791</v>
      </c>
      <c r="D139" s="62">
        <v>0</v>
      </c>
      <c r="E139" s="62">
        <f>49402-33231</f>
        <v>16171</v>
      </c>
      <c r="F139" s="27">
        <f t="shared" si="37"/>
        <v>-172962</v>
      </c>
      <c r="G139" s="62">
        <v>0</v>
      </c>
      <c r="H139" s="63">
        <f t="shared" si="26"/>
        <v>-172962</v>
      </c>
    </row>
    <row r="140" spans="1:8" ht="12">
      <c r="A140" s="47">
        <v>168509</v>
      </c>
      <c r="B140" s="66" t="s">
        <v>65</v>
      </c>
      <c r="C140" s="62">
        <v>-6607</v>
      </c>
      <c r="D140" s="62">
        <v>0</v>
      </c>
      <c r="E140" s="62">
        <f>23143-23143</f>
        <v>0</v>
      </c>
      <c r="F140" s="27">
        <f t="shared" si="37"/>
        <v>-6607</v>
      </c>
      <c r="G140" s="62">
        <v>0</v>
      </c>
      <c r="H140" s="63">
        <f t="shared" si="26"/>
        <v>-6607</v>
      </c>
    </row>
    <row r="141" spans="1:8" ht="12">
      <c r="A141" s="47">
        <v>168599</v>
      </c>
      <c r="B141" s="66" t="s">
        <v>28</v>
      </c>
      <c r="C141" s="62">
        <v>0</v>
      </c>
      <c r="D141" s="62">
        <v>0</v>
      </c>
      <c r="E141" s="62">
        <v>0</v>
      </c>
      <c r="F141" s="27">
        <f>C141-D141+E141</f>
        <v>0</v>
      </c>
      <c r="G141" s="62">
        <v>0</v>
      </c>
      <c r="H141" s="63">
        <f>+F141</f>
        <v>0</v>
      </c>
    </row>
    <row r="142" spans="1:8" ht="12">
      <c r="A142" s="47">
        <v>190000</v>
      </c>
      <c r="B142" s="65" t="s">
        <v>66</v>
      </c>
      <c r="C142" s="60">
        <f aca="true" t="shared" si="38" ref="C142:H142">C143+C150+C162+C164+C168+C172+C176+C180+C183+C185+C189+C193+C203+C208+C210</f>
        <v>130832250</v>
      </c>
      <c r="D142" s="60">
        <f t="shared" si="38"/>
        <v>232209374</v>
      </c>
      <c r="E142" s="60">
        <f t="shared" si="38"/>
        <v>232605054</v>
      </c>
      <c r="F142" s="60">
        <f t="shared" si="38"/>
        <v>130436570</v>
      </c>
      <c r="G142" s="60">
        <f t="shared" si="38"/>
        <v>0</v>
      </c>
      <c r="H142" s="61">
        <f t="shared" si="38"/>
        <v>130436570</v>
      </c>
    </row>
    <row r="143" spans="1:8" ht="12">
      <c r="A143" s="47">
        <v>190500</v>
      </c>
      <c r="B143" s="65" t="s">
        <v>67</v>
      </c>
      <c r="C143" s="60">
        <f aca="true" t="shared" si="39" ref="C143:H143">SUM(C144:C149)</f>
        <v>170617</v>
      </c>
      <c r="D143" s="60">
        <f t="shared" si="39"/>
        <v>2454</v>
      </c>
      <c r="E143" s="60">
        <f t="shared" si="39"/>
        <v>68910</v>
      </c>
      <c r="F143" s="60">
        <f t="shared" si="39"/>
        <v>104161</v>
      </c>
      <c r="G143" s="60">
        <f t="shared" si="39"/>
        <v>0</v>
      </c>
      <c r="H143" s="61">
        <f t="shared" si="39"/>
        <v>104161</v>
      </c>
    </row>
    <row r="144" spans="1:8" ht="12">
      <c r="A144" s="47">
        <v>190501</v>
      </c>
      <c r="B144" s="64" t="s">
        <v>68</v>
      </c>
      <c r="C144" s="62">
        <v>169419</v>
      </c>
      <c r="D144" s="62">
        <f>14698-7400-4450-1180-1500-168</f>
        <v>0</v>
      </c>
      <c r="E144" s="62">
        <v>65694</v>
      </c>
      <c r="F144" s="27">
        <f aca="true" t="shared" si="40" ref="F144:F207">+C144+D144-E144</f>
        <v>103725</v>
      </c>
      <c r="G144" s="62">
        <v>0</v>
      </c>
      <c r="H144" s="63">
        <f>F144</f>
        <v>103725</v>
      </c>
    </row>
    <row r="145" spans="1:8" ht="12">
      <c r="A145" s="47">
        <v>190504</v>
      </c>
      <c r="B145" s="64" t="s">
        <v>0</v>
      </c>
      <c r="C145" s="62">
        <v>0</v>
      </c>
      <c r="D145" s="62">
        <v>0</v>
      </c>
      <c r="E145" s="62">
        <v>0</v>
      </c>
      <c r="F145" s="27">
        <f t="shared" si="40"/>
        <v>0</v>
      </c>
      <c r="G145" s="62">
        <f>+F145</f>
        <v>0</v>
      </c>
      <c r="H145" s="63">
        <v>0</v>
      </c>
    </row>
    <row r="146" spans="1:8" ht="12">
      <c r="A146" s="47">
        <v>190505</v>
      </c>
      <c r="B146" s="64" t="s">
        <v>69</v>
      </c>
      <c r="C146" s="62">
        <v>885</v>
      </c>
      <c r="D146" s="62">
        <f>2557-2557</f>
        <v>0</v>
      </c>
      <c r="E146" s="62">
        <v>449</v>
      </c>
      <c r="F146" s="27">
        <f t="shared" si="40"/>
        <v>436</v>
      </c>
      <c r="G146" s="62">
        <v>0</v>
      </c>
      <c r="H146" s="63">
        <f>F146</f>
        <v>436</v>
      </c>
    </row>
    <row r="147" spans="1:8" ht="12">
      <c r="A147" s="47">
        <v>190507</v>
      </c>
      <c r="B147" s="64" t="s">
        <v>70</v>
      </c>
      <c r="C147" s="62">
        <v>0</v>
      </c>
      <c r="D147" s="62">
        <v>0</v>
      </c>
      <c r="E147" s="62">
        <v>0</v>
      </c>
      <c r="F147" s="27">
        <f t="shared" si="40"/>
        <v>0</v>
      </c>
      <c r="G147" s="62">
        <f>+F147</f>
        <v>0</v>
      </c>
      <c r="H147" s="63">
        <v>0</v>
      </c>
    </row>
    <row r="148" spans="1:8" ht="12">
      <c r="A148" s="47">
        <v>190508</v>
      </c>
      <c r="B148" s="64" t="s">
        <v>71</v>
      </c>
      <c r="C148" s="62">
        <v>313</v>
      </c>
      <c r="D148" s="62">
        <v>2454</v>
      </c>
      <c r="E148" s="62">
        <v>2767</v>
      </c>
      <c r="F148" s="27">
        <f t="shared" si="40"/>
        <v>0</v>
      </c>
      <c r="G148" s="62">
        <f>+F148</f>
        <v>0</v>
      </c>
      <c r="H148" s="63">
        <v>0</v>
      </c>
    </row>
    <row r="149" spans="1:8" ht="12">
      <c r="A149" s="47">
        <v>190590</v>
      </c>
      <c r="B149" s="64" t="s">
        <v>72</v>
      </c>
      <c r="C149" s="62">
        <v>0</v>
      </c>
      <c r="D149" s="62">
        <v>0</v>
      </c>
      <c r="E149" s="62">
        <v>0</v>
      </c>
      <c r="F149" s="27">
        <f t="shared" si="40"/>
        <v>0</v>
      </c>
      <c r="G149" s="62">
        <f>+F149</f>
        <v>0</v>
      </c>
      <c r="H149" s="63">
        <v>0</v>
      </c>
    </row>
    <row r="150" spans="1:8" ht="12">
      <c r="A150" s="47">
        <v>191000</v>
      </c>
      <c r="B150" s="65" t="s">
        <v>73</v>
      </c>
      <c r="C150" s="69">
        <f aca="true" t="shared" si="41" ref="C150:H150">SUM(C151:C161)</f>
        <v>195184</v>
      </c>
      <c r="D150" s="69">
        <f t="shared" si="41"/>
        <v>81663</v>
      </c>
      <c r="E150" s="69">
        <f t="shared" si="41"/>
        <v>247389</v>
      </c>
      <c r="F150" s="69">
        <f t="shared" si="41"/>
        <v>29458</v>
      </c>
      <c r="G150" s="69">
        <f t="shared" si="41"/>
        <v>0</v>
      </c>
      <c r="H150" s="70">
        <f t="shared" si="41"/>
        <v>29458</v>
      </c>
    </row>
    <row r="151" spans="1:8" ht="12">
      <c r="A151" s="47">
        <v>191001</v>
      </c>
      <c r="B151" s="64" t="s">
        <v>74</v>
      </c>
      <c r="C151" s="71">
        <v>185883</v>
      </c>
      <c r="D151" s="56">
        <f>92289-13869-1532-360</f>
        <v>76528</v>
      </c>
      <c r="E151" s="56">
        <v>238649</v>
      </c>
      <c r="F151" s="27">
        <f t="shared" si="40"/>
        <v>23762</v>
      </c>
      <c r="G151" s="56">
        <v>0</v>
      </c>
      <c r="H151" s="72">
        <f>+F151</f>
        <v>23762</v>
      </c>
    </row>
    <row r="152" spans="1:8" ht="12">
      <c r="A152" s="47">
        <v>191003</v>
      </c>
      <c r="B152" s="64" t="s">
        <v>75</v>
      </c>
      <c r="C152" s="71">
        <v>0</v>
      </c>
      <c r="D152" s="56">
        <v>0</v>
      </c>
      <c r="E152" s="56">
        <v>0</v>
      </c>
      <c r="F152" s="27">
        <f t="shared" si="40"/>
        <v>0</v>
      </c>
      <c r="G152" s="56">
        <v>0</v>
      </c>
      <c r="H152" s="72">
        <f aca="true" t="shared" si="42" ref="H152:H213">+F152</f>
        <v>0</v>
      </c>
    </row>
    <row r="153" spans="1:8" ht="12">
      <c r="A153" s="47">
        <v>191004</v>
      </c>
      <c r="B153" s="66" t="s">
        <v>76</v>
      </c>
      <c r="C153" s="71">
        <v>4356</v>
      </c>
      <c r="D153" s="71">
        <v>3519</v>
      </c>
      <c r="E153" s="71">
        <v>2179</v>
      </c>
      <c r="F153" s="27">
        <f t="shared" si="40"/>
        <v>5696</v>
      </c>
      <c r="G153" s="71">
        <v>0</v>
      </c>
      <c r="H153" s="72">
        <f t="shared" si="42"/>
        <v>5696</v>
      </c>
    </row>
    <row r="154" spans="1:8" ht="12">
      <c r="A154" s="47">
        <v>191008</v>
      </c>
      <c r="B154" s="66" t="s">
        <v>77</v>
      </c>
      <c r="C154" s="71">
        <v>0</v>
      </c>
      <c r="D154" s="71">
        <v>0</v>
      </c>
      <c r="E154" s="71">
        <v>0</v>
      </c>
      <c r="F154" s="27">
        <f t="shared" si="40"/>
        <v>0</v>
      </c>
      <c r="G154" s="71">
        <v>0</v>
      </c>
      <c r="H154" s="72">
        <f t="shared" si="42"/>
        <v>0</v>
      </c>
    </row>
    <row r="155" spans="1:8" ht="12">
      <c r="A155" s="47">
        <v>191012</v>
      </c>
      <c r="B155" s="66" t="s">
        <v>78</v>
      </c>
      <c r="C155" s="71">
        <v>0</v>
      </c>
      <c r="D155" s="71">
        <v>0</v>
      </c>
      <c r="E155" s="71">
        <v>0</v>
      </c>
      <c r="F155" s="27">
        <f t="shared" si="40"/>
        <v>0</v>
      </c>
      <c r="G155" s="71">
        <v>0</v>
      </c>
      <c r="H155" s="72">
        <f t="shared" si="42"/>
        <v>0</v>
      </c>
    </row>
    <row r="156" spans="1:8" ht="12">
      <c r="A156" s="47">
        <v>191021</v>
      </c>
      <c r="B156" s="66" t="s">
        <v>79</v>
      </c>
      <c r="C156" s="71">
        <v>4945</v>
      </c>
      <c r="D156" s="71">
        <f>1869-253</f>
        <v>1616</v>
      </c>
      <c r="E156" s="71">
        <v>6561</v>
      </c>
      <c r="F156" s="27">
        <f t="shared" si="40"/>
        <v>0</v>
      </c>
      <c r="G156" s="71">
        <v>0</v>
      </c>
      <c r="H156" s="72">
        <f t="shared" si="42"/>
        <v>0</v>
      </c>
    </row>
    <row r="157" spans="1:8" ht="12">
      <c r="A157" s="47">
        <v>191022</v>
      </c>
      <c r="B157" s="64" t="s">
        <v>80</v>
      </c>
      <c r="C157" s="71">
        <v>0</v>
      </c>
      <c r="D157" s="71">
        <v>0</v>
      </c>
      <c r="E157" s="71">
        <v>0</v>
      </c>
      <c r="F157" s="27">
        <f t="shared" si="40"/>
        <v>0</v>
      </c>
      <c r="G157" s="71">
        <v>0</v>
      </c>
      <c r="H157" s="72">
        <f t="shared" si="42"/>
        <v>0</v>
      </c>
    </row>
    <row r="158" spans="1:8" ht="12">
      <c r="A158" s="47">
        <v>191023</v>
      </c>
      <c r="B158" s="64" t="s">
        <v>81</v>
      </c>
      <c r="C158" s="71">
        <v>0</v>
      </c>
      <c r="D158" s="71">
        <v>0</v>
      </c>
      <c r="E158" s="71">
        <v>0</v>
      </c>
      <c r="F158" s="27">
        <f t="shared" si="40"/>
        <v>0</v>
      </c>
      <c r="G158" s="71">
        <v>0</v>
      </c>
      <c r="H158" s="72">
        <f t="shared" si="42"/>
        <v>0</v>
      </c>
    </row>
    <row r="159" spans="1:8" ht="12">
      <c r="A159" s="47">
        <v>191026</v>
      </c>
      <c r="B159" s="64" t="s">
        <v>71</v>
      </c>
      <c r="C159" s="71">
        <v>0</v>
      </c>
      <c r="D159" s="71">
        <f>854052-854052</f>
        <v>0</v>
      </c>
      <c r="E159" s="71">
        <v>0</v>
      </c>
      <c r="F159" s="27">
        <f t="shared" si="40"/>
        <v>0</v>
      </c>
      <c r="G159" s="71">
        <v>0</v>
      </c>
      <c r="H159" s="72">
        <f t="shared" si="42"/>
        <v>0</v>
      </c>
    </row>
    <row r="160" spans="1:8" ht="12">
      <c r="A160" s="47">
        <v>191090</v>
      </c>
      <c r="B160" s="64" t="s">
        <v>82</v>
      </c>
      <c r="C160" s="71">
        <v>0</v>
      </c>
      <c r="D160" s="71">
        <v>0</v>
      </c>
      <c r="E160" s="71">
        <v>0</v>
      </c>
      <c r="F160" s="27">
        <f t="shared" si="40"/>
        <v>0</v>
      </c>
      <c r="G160" s="71">
        <v>0</v>
      </c>
      <c r="H160" s="72">
        <f t="shared" si="42"/>
        <v>0</v>
      </c>
    </row>
    <row r="161" spans="1:8" ht="12">
      <c r="A161" s="47">
        <v>191099</v>
      </c>
      <c r="B161" s="66" t="s">
        <v>28</v>
      </c>
      <c r="C161" s="71">
        <v>0</v>
      </c>
      <c r="D161" s="71">
        <v>0</v>
      </c>
      <c r="E161" s="71">
        <v>0</v>
      </c>
      <c r="F161" s="27">
        <f t="shared" si="40"/>
        <v>0</v>
      </c>
      <c r="G161" s="71">
        <v>0</v>
      </c>
      <c r="H161" s="72">
        <f t="shared" si="42"/>
        <v>0</v>
      </c>
    </row>
    <row r="162" spans="1:8" ht="12">
      <c r="A162" s="47">
        <v>191100</v>
      </c>
      <c r="B162" s="67" t="s">
        <v>83</v>
      </c>
      <c r="C162" s="69">
        <f aca="true" t="shared" si="43" ref="C162:H162">SUM(C163)</f>
        <v>118780549</v>
      </c>
      <c r="D162" s="69">
        <f t="shared" si="43"/>
        <v>0</v>
      </c>
      <c r="E162" s="69">
        <f t="shared" si="43"/>
        <v>0</v>
      </c>
      <c r="F162" s="69">
        <f t="shared" si="43"/>
        <v>118780549</v>
      </c>
      <c r="G162" s="69">
        <f t="shared" si="43"/>
        <v>0</v>
      </c>
      <c r="H162" s="70">
        <f t="shared" si="43"/>
        <v>118780549</v>
      </c>
    </row>
    <row r="163" spans="1:8" ht="12">
      <c r="A163" s="47">
        <v>191102</v>
      </c>
      <c r="B163" s="66" t="s">
        <v>84</v>
      </c>
      <c r="C163" s="71">
        <v>118780549</v>
      </c>
      <c r="D163" s="71">
        <v>0</v>
      </c>
      <c r="E163" s="71">
        <v>0</v>
      </c>
      <c r="F163" s="27">
        <f t="shared" si="40"/>
        <v>118780549</v>
      </c>
      <c r="G163" s="71">
        <v>0</v>
      </c>
      <c r="H163" s="72">
        <f t="shared" si="42"/>
        <v>118780549</v>
      </c>
    </row>
    <row r="164" spans="1:8" ht="12">
      <c r="A164" s="47">
        <v>192000</v>
      </c>
      <c r="B164" s="67" t="s">
        <v>85</v>
      </c>
      <c r="C164" s="69">
        <f aca="true" t="shared" si="44" ref="C164:H164">SUM(C165:C167)</f>
        <v>7726768</v>
      </c>
      <c r="D164" s="69">
        <f t="shared" si="44"/>
        <v>0</v>
      </c>
      <c r="E164" s="69">
        <f t="shared" si="44"/>
        <v>0</v>
      </c>
      <c r="F164" s="69">
        <f t="shared" si="44"/>
        <v>7726768</v>
      </c>
      <c r="G164" s="69">
        <f t="shared" si="44"/>
        <v>0</v>
      </c>
      <c r="H164" s="70">
        <f t="shared" si="44"/>
        <v>7726768</v>
      </c>
    </row>
    <row r="165" spans="1:8" ht="12">
      <c r="A165" s="47">
        <v>192002</v>
      </c>
      <c r="B165" s="66" t="s">
        <v>86</v>
      </c>
      <c r="C165" s="71">
        <v>7599116</v>
      </c>
      <c r="D165" s="71">
        <v>0</v>
      </c>
      <c r="E165" s="71">
        <v>0</v>
      </c>
      <c r="F165" s="27">
        <f t="shared" si="40"/>
        <v>7599116</v>
      </c>
      <c r="G165" s="69">
        <v>0</v>
      </c>
      <c r="H165" s="72">
        <f t="shared" si="42"/>
        <v>7599116</v>
      </c>
    </row>
    <row r="166" spans="1:8" ht="12">
      <c r="A166" s="47">
        <v>192005</v>
      </c>
      <c r="B166" s="66" t="s">
        <v>87</v>
      </c>
      <c r="C166" s="71">
        <v>127652</v>
      </c>
      <c r="D166" s="62">
        <v>0</v>
      </c>
      <c r="E166" s="62">
        <v>0</v>
      </c>
      <c r="F166" s="27">
        <f t="shared" si="40"/>
        <v>127652</v>
      </c>
      <c r="G166" s="62">
        <v>0</v>
      </c>
      <c r="H166" s="72">
        <f t="shared" si="42"/>
        <v>127652</v>
      </c>
    </row>
    <row r="167" spans="1:8" ht="12">
      <c r="A167" s="47">
        <v>192099</v>
      </c>
      <c r="B167" s="66" t="s">
        <v>28</v>
      </c>
      <c r="C167" s="71">
        <v>0</v>
      </c>
      <c r="D167" s="62">
        <v>0</v>
      </c>
      <c r="E167" s="62">
        <v>0</v>
      </c>
      <c r="F167" s="27">
        <f t="shared" si="40"/>
        <v>0</v>
      </c>
      <c r="G167" s="62">
        <v>0</v>
      </c>
      <c r="H167" s="72">
        <f t="shared" si="42"/>
        <v>0</v>
      </c>
    </row>
    <row r="168" spans="1:8" ht="12">
      <c r="A168" s="47">
        <v>192500</v>
      </c>
      <c r="B168" s="68" t="s">
        <v>88</v>
      </c>
      <c r="C168" s="60">
        <f aca="true" t="shared" si="45" ref="C168:H168">SUM(C169:C171)</f>
        <v>-10006</v>
      </c>
      <c r="D168" s="60">
        <f t="shared" si="45"/>
        <v>10483</v>
      </c>
      <c r="E168" s="60">
        <f t="shared" si="45"/>
        <v>10483</v>
      </c>
      <c r="F168" s="60">
        <f t="shared" si="45"/>
        <v>-10006</v>
      </c>
      <c r="G168" s="60">
        <f t="shared" si="45"/>
        <v>0</v>
      </c>
      <c r="H168" s="61">
        <f t="shared" si="45"/>
        <v>-10006</v>
      </c>
    </row>
    <row r="169" spans="1:8" ht="12">
      <c r="A169" s="47">
        <v>192505</v>
      </c>
      <c r="B169" s="66" t="s">
        <v>87</v>
      </c>
      <c r="C169" s="71">
        <v>-10006</v>
      </c>
      <c r="D169" s="62">
        <v>0</v>
      </c>
      <c r="E169" s="62">
        <v>0</v>
      </c>
      <c r="F169" s="27">
        <f>C169+D169-E169</f>
        <v>-10006</v>
      </c>
      <c r="G169" s="62">
        <v>0</v>
      </c>
      <c r="H169" s="72">
        <f t="shared" si="42"/>
        <v>-10006</v>
      </c>
    </row>
    <row r="170" spans="1:8" ht="12">
      <c r="A170" s="47">
        <v>192599</v>
      </c>
      <c r="B170" s="66" t="s">
        <v>89</v>
      </c>
      <c r="C170" s="62">
        <v>0</v>
      </c>
      <c r="D170" s="62">
        <v>0</v>
      </c>
      <c r="E170" s="62">
        <v>0</v>
      </c>
      <c r="F170" s="27">
        <f t="shared" si="40"/>
        <v>0</v>
      </c>
      <c r="G170" s="62">
        <v>0</v>
      </c>
      <c r="H170" s="72">
        <f t="shared" si="42"/>
        <v>0</v>
      </c>
    </row>
    <row r="171" spans="1:8" ht="12">
      <c r="A171" s="47">
        <v>194104</v>
      </c>
      <c r="B171" s="66" t="s">
        <v>90</v>
      </c>
      <c r="C171" s="62">
        <v>0</v>
      </c>
      <c r="D171" s="62">
        <v>10483</v>
      </c>
      <c r="E171" s="62">
        <v>10483</v>
      </c>
      <c r="F171" s="27">
        <f t="shared" si="40"/>
        <v>0</v>
      </c>
      <c r="G171" s="62">
        <v>0</v>
      </c>
      <c r="H171" s="72">
        <f t="shared" si="42"/>
        <v>0</v>
      </c>
    </row>
    <row r="172" spans="1:8" ht="12">
      <c r="A172" s="47">
        <v>195000</v>
      </c>
      <c r="B172" s="65" t="s">
        <v>91</v>
      </c>
      <c r="C172" s="69">
        <f aca="true" t="shared" si="46" ref="C172:H172">SUM(C173:C175)</f>
        <v>36026</v>
      </c>
      <c r="D172" s="69">
        <f t="shared" si="46"/>
        <v>0</v>
      </c>
      <c r="E172" s="69">
        <f t="shared" si="46"/>
        <v>0</v>
      </c>
      <c r="F172" s="69">
        <f t="shared" si="46"/>
        <v>36026</v>
      </c>
      <c r="G172" s="69">
        <f t="shared" si="46"/>
        <v>0</v>
      </c>
      <c r="H172" s="70">
        <f t="shared" si="46"/>
        <v>36026</v>
      </c>
    </row>
    <row r="173" spans="1:8" ht="12">
      <c r="A173" s="47">
        <v>195002</v>
      </c>
      <c r="B173" s="64" t="s">
        <v>92</v>
      </c>
      <c r="C173" s="71">
        <v>36026</v>
      </c>
      <c r="D173" s="71">
        <v>0</v>
      </c>
      <c r="E173" s="71">
        <v>0</v>
      </c>
      <c r="F173" s="27">
        <f t="shared" si="40"/>
        <v>36026</v>
      </c>
      <c r="G173" s="71">
        <v>0</v>
      </c>
      <c r="H173" s="72">
        <f t="shared" si="42"/>
        <v>36026</v>
      </c>
    </row>
    <row r="174" spans="1:8" ht="12">
      <c r="A174" s="47">
        <v>195003</v>
      </c>
      <c r="B174" s="64" t="s">
        <v>93</v>
      </c>
      <c r="C174" s="71">
        <v>0</v>
      </c>
      <c r="D174" s="62">
        <v>0</v>
      </c>
      <c r="E174" s="62">
        <v>0</v>
      </c>
      <c r="F174" s="27">
        <f t="shared" si="40"/>
        <v>0</v>
      </c>
      <c r="G174" s="62">
        <v>0</v>
      </c>
      <c r="H174" s="72">
        <f t="shared" si="42"/>
        <v>0</v>
      </c>
    </row>
    <row r="175" spans="1:8" ht="22.5">
      <c r="A175" s="47">
        <v>195004</v>
      </c>
      <c r="B175" s="64" t="s">
        <v>94</v>
      </c>
      <c r="C175" s="62">
        <v>0</v>
      </c>
      <c r="D175" s="62">
        <v>0</v>
      </c>
      <c r="E175" s="62">
        <v>0</v>
      </c>
      <c r="F175" s="27">
        <f t="shared" si="40"/>
        <v>0</v>
      </c>
      <c r="G175" s="62">
        <v>0</v>
      </c>
      <c r="H175" s="72">
        <f t="shared" si="42"/>
        <v>0</v>
      </c>
    </row>
    <row r="176" spans="1:8" ht="12">
      <c r="A176" s="47">
        <v>195500</v>
      </c>
      <c r="B176" s="65" t="s">
        <v>95</v>
      </c>
      <c r="C176" s="69">
        <f aca="true" t="shared" si="47" ref="C176:H176">SUM(C177:C179)</f>
        <v>-36026</v>
      </c>
      <c r="D176" s="69">
        <f t="shared" si="47"/>
        <v>0</v>
      </c>
      <c r="E176" s="69">
        <f t="shared" si="47"/>
        <v>0</v>
      </c>
      <c r="F176" s="69">
        <f t="shared" si="47"/>
        <v>-36026</v>
      </c>
      <c r="G176" s="69">
        <f t="shared" si="47"/>
        <v>0</v>
      </c>
      <c r="H176" s="70">
        <f t="shared" si="47"/>
        <v>-36026</v>
      </c>
    </row>
    <row r="177" spans="1:8" ht="12">
      <c r="A177" s="47">
        <v>195502</v>
      </c>
      <c r="B177" s="64" t="s">
        <v>92</v>
      </c>
      <c r="C177" s="71">
        <v>-36026</v>
      </c>
      <c r="D177" s="71">
        <f>+D173</f>
        <v>0</v>
      </c>
      <c r="E177" s="71">
        <f>+E173</f>
        <v>0</v>
      </c>
      <c r="F177" s="27">
        <f>C177+D177-E177</f>
        <v>-36026</v>
      </c>
      <c r="G177" s="71">
        <f>+G173</f>
        <v>0</v>
      </c>
      <c r="H177" s="72">
        <f t="shared" si="42"/>
        <v>-36026</v>
      </c>
    </row>
    <row r="178" spans="1:8" ht="12">
      <c r="A178" s="47">
        <v>195503</v>
      </c>
      <c r="B178" s="64" t="s">
        <v>96</v>
      </c>
      <c r="C178" s="71">
        <v>0</v>
      </c>
      <c r="D178" s="71">
        <f>+D174</f>
        <v>0</v>
      </c>
      <c r="E178" s="71">
        <f>+E174</f>
        <v>0</v>
      </c>
      <c r="F178" s="27">
        <f t="shared" si="40"/>
        <v>0</v>
      </c>
      <c r="G178" s="71">
        <f>+G174</f>
        <v>0</v>
      </c>
      <c r="H178" s="72">
        <f t="shared" si="42"/>
        <v>0</v>
      </c>
    </row>
    <row r="179" spans="1:8" ht="22.5">
      <c r="A179" s="47">
        <v>195504</v>
      </c>
      <c r="B179" s="64" t="s">
        <v>94</v>
      </c>
      <c r="C179" s="56">
        <v>0</v>
      </c>
      <c r="D179" s="71">
        <v>0</v>
      </c>
      <c r="E179" s="71">
        <v>0</v>
      </c>
      <c r="F179" s="27">
        <f t="shared" si="40"/>
        <v>0</v>
      </c>
      <c r="G179" s="71">
        <v>0</v>
      </c>
      <c r="H179" s="72">
        <f t="shared" si="42"/>
        <v>0</v>
      </c>
    </row>
    <row r="180" spans="1:8" ht="12">
      <c r="A180" s="47">
        <v>196000</v>
      </c>
      <c r="B180" s="65" t="s">
        <v>97</v>
      </c>
      <c r="C180" s="60">
        <f aca="true" t="shared" si="48" ref="C180:H180">SUM(C181:C182)</f>
        <v>0</v>
      </c>
      <c r="D180" s="60">
        <f t="shared" si="48"/>
        <v>0</v>
      </c>
      <c r="E180" s="60">
        <f t="shared" si="48"/>
        <v>0</v>
      </c>
      <c r="F180" s="60">
        <f t="shared" si="48"/>
        <v>0</v>
      </c>
      <c r="G180" s="60">
        <f t="shared" si="48"/>
        <v>0</v>
      </c>
      <c r="H180" s="61">
        <f t="shared" si="48"/>
        <v>0</v>
      </c>
    </row>
    <row r="181" spans="1:8" ht="12">
      <c r="A181" s="47">
        <v>196007</v>
      </c>
      <c r="B181" s="64" t="s">
        <v>98</v>
      </c>
      <c r="C181" s="62">
        <v>0</v>
      </c>
      <c r="D181" s="62">
        <v>0</v>
      </c>
      <c r="E181" s="62">
        <v>0</v>
      </c>
      <c r="F181" s="27">
        <f t="shared" si="40"/>
        <v>0</v>
      </c>
      <c r="G181" s="62">
        <v>0</v>
      </c>
      <c r="H181" s="72">
        <f t="shared" si="42"/>
        <v>0</v>
      </c>
    </row>
    <row r="182" spans="1:8" ht="12">
      <c r="A182" s="47">
        <v>196099</v>
      </c>
      <c r="B182" s="64" t="s">
        <v>99</v>
      </c>
      <c r="C182" s="62">
        <v>0</v>
      </c>
      <c r="D182" s="62">
        <v>0</v>
      </c>
      <c r="E182" s="62">
        <v>0</v>
      </c>
      <c r="F182" s="27">
        <f t="shared" si="40"/>
        <v>0</v>
      </c>
      <c r="G182" s="62">
        <v>0</v>
      </c>
      <c r="H182" s="72">
        <f t="shared" si="42"/>
        <v>0</v>
      </c>
    </row>
    <row r="183" spans="1:8" ht="12">
      <c r="A183" s="47">
        <v>196500</v>
      </c>
      <c r="B183" s="65" t="s">
        <v>100</v>
      </c>
      <c r="C183" s="69">
        <f aca="true" t="shared" si="49" ref="C183:H183">SUM(C184)</f>
        <v>0</v>
      </c>
      <c r="D183" s="69">
        <f t="shared" si="49"/>
        <v>0</v>
      </c>
      <c r="E183" s="69">
        <f t="shared" si="49"/>
        <v>0</v>
      </c>
      <c r="F183" s="69">
        <f t="shared" si="49"/>
        <v>0</v>
      </c>
      <c r="G183" s="69">
        <f t="shared" si="49"/>
        <v>0</v>
      </c>
      <c r="H183" s="70">
        <f t="shared" si="49"/>
        <v>0</v>
      </c>
    </row>
    <row r="184" spans="1:8" ht="12">
      <c r="A184" s="47">
        <v>196507</v>
      </c>
      <c r="B184" s="64" t="s">
        <v>98</v>
      </c>
      <c r="C184" s="71">
        <v>0</v>
      </c>
      <c r="D184" s="62">
        <v>0</v>
      </c>
      <c r="E184" s="62">
        <v>0</v>
      </c>
      <c r="F184" s="27">
        <f t="shared" si="40"/>
        <v>0</v>
      </c>
      <c r="G184" s="62">
        <v>0</v>
      </c>
      <c r="H184" s="72">
        <f t="shared" si="42"/>
        <v>0</v>
      </c>
    </row>
    <row r="185" spans="1:8" ht="12">
      <c r="A185" s="47">
        <v>197000</v>
      </c>
      <c r="B185" s="65" t="s">
        <v>101</v>
      </c>
      <c r="C185" s="60">
        <f aca="true" t="shared" si="50" ref="C185:H185">SUM(C186:C188)</f>
        <v>8059268</v>
      </c>
      <c r="D185" s="60">
        <f t="shared" si="50"/>
        <v>19419</v>
      </c>
      <c r="E185" s="60">
        <f t="shared" si="50"/>
        <v>0</v>
      </c>
      <c r="F185" s="60">
        <f t="shared" si="50"/>
        <v>8078687</v>
      </c>
      <c r="G185" s="60">
        <f t="shared" si="50"/>
        <v>0</v>
      </c>
      <c r="H185" s="61">
        <f t="shared" si="50"/>
        <v>8078687</v>
      </c>
    </row>
    <row r="186" spans="1:8" ht="12">
      <c r="A186" s="47">
        <v>197007</v>
      </c>
      <c r="B186" s="64" t="s">
        <v>102</v>
      </c>
      <c r="C186" s="62">
        <v>0</v>
      </c>
      <c r="D186" s="62">
        <v>0</v>
      </c>
      <c r="E186" s="62">
        <v>0</v>
      </c>
      <c r="F186" s="27">
        <f t="shared" si="40"/>
        <v>0</v>
      </c>
      <c r="G186" s="62">
        <v>0</v>
      </c>
      <c r="H186" s="72">
        <f t="shared" si="42"/>
        <v>0</v>
      </c>
    </row>
    <row r="187" spans="1:8" ht="12">
      <c r="A187" s="47">
        <v>197008</v>
      </c>
      <c r="B187" s="64" t="s">
        <v>103</v>
      </c>
      <c r="C187" s="62">
        <v>8059268</v>
      </c>
      <c r="D187" s="62">
        <f>27655-8236</f>
        <v>19419</v>
      </c>
      <c r="E187" s="62">
        <v>0</v>
      </c>
      <c r="F187" s="27">
        <f t="shared" si="40"/>
        <v>8078687</v>
      </c>
      <c r="G187" s="62">
        <v>0</v>
      </c>
      <c r="H187" s="72">
        <f t="shared" si="42"/>
        <v>8078687</v>
      </c>
    </row>
    <row r="188" spans="1:8" ht="12">
      <c r="A188" s="47">
        <v>197099</v>
      </c>
      <c r="B188" s="64" t="s">
        <v>28</v>
      </c>
      <c r="C188" s="71">
        <v>0</v>
      </c>
      <c r="D188" s="62">
        <v>0</v>
      </c>
      <c r="E188" s="62">
        <v>0</v>
      </c>
      <c r="F188" s="27">
        <f t="shared" si="40"/>
        <v>0</v>
      </c>
      <c r="G188" s="62">
        <v>0</v>
      </c>
      <c r="H188" s="72">
        <f t="shared" si="42"/>
        <v>0</v>
      </c>
    </row>
    <row r="189" spans="1:8" ht="12">
      <c r="A189" s="47">
        <v>197500</v>
      </c>
      <c r="B189" s="65" t="s">
        <v>104</v>
      </c>
      <c r="C189" s="69">
        <f aca="true" t="shared" si="51" ref="C189:H189">SUM(C190:C192)</f>
        <v>-7459811</v>
      </c>
      <c r="D189" s="69">
        <f t="shared" si="51"/>
        <v>0</v>
      </c>
      <c r="E189" s="69">
        <f t="shared" si="51"/>
        <v>101400</v>
      </c>
      <c r="F189" s="69">
        <f t="shared" si="51"/>
        <v>-7561211</v>
      </c>
      <c r="G189" s="69">
        <f t="shared" si="51"/>
        <v>0</v>
      </c>
      <c r="H189" s="70">
        <f t="shared" si="51"/>
        <v>-7561211</v>
      </c>
    </row>
    <row r="190" spans="1:8" ht="12">
      <c r="A190" s="47">
        <v>197507</v>
      </c>
      <c r="B190" s="64" t="s">
        <v>102</v>
      </c>
      <c r="C190" s="56">
        <v>0</v>
      </c>
      <c r="D190" s="62">
        <v>0</v>
      </c>
      <c r="E190" s="62">
        <v>0</v>
      </c>
      <c r="F190" s="27">
        <f t="shared" si="40"/>
        <v>0</v>
      </c>
      <c r="G190" s="62">
        <v>0</v>
      </c>
      <c r="H190" s="72">
        <f t="shared" si="42"/>
        <v>0</v>
      </c>
    </row>
    <row r="191" spans="1:8" ht="12">
      <c r="A191" s="47">
        <v>197508</v>
      </c>
      <c r="B191" s="64" t="s">
        <v>103</v>
      </c>
      <c r="C191" s="56">
        <v>-7459811</v>
      </c>
      <c r="D191" s="62">
        <v>0</v>
      </c>
      <c r="E191" s="62">
        <f>104283-2883</f>
        <v>101400</v>
      </c>
      <c r="F191" s="27">
        <f>C191+D191-E191</f>
        <v>-7561211</v>
      </c>
      <c r="G191" s="62">
        <v>0</v>
      </c>
      <c r="H191" s="72">
        <f t="shared" si="42"/>
        <v>-7561211</v>
      </c>
    </row>
    <row r="192" spans="1:8" ht="12">
      <c r="A192" s="47">
        <v>197599</v>
      </c>
      <c r="B192" s="64" t="s">
        <v>28</v>
      </c>
      <c r="C192" s="56">
        <v>0</v>
      </c>
      <c r="D192" s="62">
        <v>0</v>
      </c>
      <c r="E192" s="62">
        <v>0</v>
      </c>
      <c r="F192" s="27">
        <f t="shared" si="40"/>
        <v>0</v>
      </c>
      <c r="G192" s="62">
        <v>0</v>
      </c>
      <c r="H192" s="72">
        <f t="shared" si="42"/>
        <v>0</v>
      </c>
    </row>
    <row r="193" spans="1:8" ht="12">
      <c r="A193" s="47">
        <v>199500</v>
      </c>
      <c r="B193" s="65" t="s">
        <v>105</v>
      </c>
      <c r="C193" s="54">
        <f aca="true" t="shared" si="52" ref="C193:H193">SUM(C194:C202)</f>
        <v>0</v>
      </c>
      <c r="D193" s="54">
        <f t="shared" si="52"/>
        <v>232095355</v>
      </c>
      <c r="E193" s="54">
        <f t="shared" si="52"/>
        <v>232176872</v>
      </c>
      <c r="F193" s="54">
        <f t="shared" si="52"/>
        <v>-81517</v>
      </c>
      <c r="G193" s="54">
        <f t="shared" si="52"/>
        <v>0</v>
      </c>
      <c r="H193" s="55">
        <f t="shared" si="52"/>
        <v>-81517</v>
      </c>
    </row>
    <row r="194" spans="1:8" ht="12">
      <c r="A194" s="47">
        <v>199501</v>
      </c>
      <c r="B194" s="64" t="s">
        <v>106</v>
      </c>
      <c r="C194" s="56">
        <v>0</v>
      </c>
      <c r="D194" s="62">
        <v>232069078</v>
      </c>
      <c r="E194" s="62">
        <v>232060319</v>
      </c>
      <c r="F194" s="27">
        <f t="shared" si="40"/>
        <v>8759</v>
      </c>
      <c r="G194" s="62">
        <v>0</v>
      </c>
      <c r="H194" s="72">
        <f t="shared" si="42"/>
        <v>8759</v>
      </c>
    </row>
    <row r="195" spans="1:8" ht="12">
      <c r="A195" s="47">
        <v>199503</v>
      </c>
      <c r="B195" s="64" t="s">
        <v>107</v>
      </c>
      <c r="C195" s="56">
        <v>0</v>
      </c>
      <c r="D195" s="62">
        <v>0</v>
      </c>
      <c r="E195" s="62">
        <v>0</v>
      </c>
      <c r="F195" s="27">
        <f t="shared" si="40"/>
        <v>0</v>
      </c>
      <c r="G195" s="62">
        <v>0</v>
      </c>
      <c r="H195" s="72">
        <f t="shared" si="42"/>
        <v>0</v>
      </c>
    </row>
    <row r="196" spans="1:8" ht="12">
      <c r="A196" s="47">
        <v>199505</v>
      </c>
      <c r="B196" s="64" t="s">
        <v>108</v>
      </c>
      <c r="C196" s="56">
        <v>0</v>
      </c>
      <c r="D196" s="62">
        <v>0</v>
      </c>
      <c r="E196" s="62">
        <v>0</v>
      </c>
      <c r="F196" s="27">
        <f t="shared" si="40"/>
        <v>0</v>
      </c>
      <c r="G196" s="62">
        <v>0</v>
      </c>
      <c r="H196" s="72">
        <f t="shared" si="42"/>
        <v>0</v>
      </c>
    </row>
    <row r="197" spans="1:8" ht="12">
      <c r="A197" s="47">
        <v>199506</v>
      </c>
      <c r="B197" s="64" t="s">
        <v>109</v>
      </c>
      <c r="C197" s="56">
        <v>0</v>
      </c>
      <c r="D197" s="62">
        <v>0</v>
      </c>
      <c r="E197" s="62">
        <v>8759</v>
      </c>
      <c r="F197" s="27">
        <f t="shared" si="40"/>
        <v>-8759</v>
      </c>
      <c r="G197" s="62">
        <v>0</v>
      </c>
      <c r="H197" s="72">
        <f t="shared" si="42"/>
        <v>-8759</v>
      </c>
    </row>
    <row r="198" spans="1:8" ht="12">
      <c r="A198" s="47">
        <v>199507</v>
      </c>
      <c r="B198" s="64" t="s">
        <v>110</v>
      </c>
      <c r="C198" s="56">
        <v>0</v>
      </c>
      <c r="D198" s="62">
        <v>0</v>
      </c>
      <c r="E198" s="62">
        <v>81517</v>
      </c>
      <c r="F198" s="27">
        <f t="shared" si="40"/>
        <v>-81517</v>
      </c>
      <c r="G198" s="62">
        <v>0</v>
      </c>
      <c r="H198" s="72">
        <f t="shared" si="42"/>
        <v>-81517</v>
      </c>
    </row>
    <row r="199" spans="1:8" ht="12">
      <c r="A199" s="47">
        <v>199508</v>
      </c>
      <c r="B199" s="64" t="s">
        <v>111</v>
      </c>
      <c r="C199" s="56">
        <v>0</v>
      </c>
      <c r="D199" s="62">
        <v>0</v>
      </c>
      <c r="E199" s="62">
        <v>0</v>
      </c>
      <c r="F199" s="27">
        <f t="shared" si="40"/>
        <v>0</v>
      </c>
      <c r="G199" s="62">
        <v>0</v>
      </c>
      <c r="H199" s="72">
        <f t="shared" si="42"/>
        <v>0</v>
      </c>
    </row>
    <row r="200" spans="1:8" ht="12">
      <c r="A200" s="47">
        <v>199509</v>
      </c>
      <c r="B200" s="64" t="s">
        <v>112</v>
      </c>
      <c r="C200" s="56">
        <v>0</v>
      </c>
      <c r="D200" s="62">
        <v>0</v>
      </c>
      <c r="E200" s="62">
        <v>0</v>
      </c>
      <c r="F200" s="27">
        <f t="shared" si="40"/>
        <v>0</v>
      </c>
      <c r="G200" s="62">
        <v>0</v>
      </c>
      <c r="H200" s="72">
        <f t="shared" si="42"/>
        <v>0</v>
      </c>
    </row>
    <row r="201" spans="1:8" ht="12">
      <c r="A201" s="47">
        <v>199510</v>
      </c>
      <c r="B201" s="64" t="s">
        <v>113</v>
      </c>
      <c r="C201" s="56">
        <v>0</v>
      </c>
      <c r="D201" s="62">
        <v>17518</v>
      </c>
      <c r="E201" s="62">
        <v>8759</v>
      </c>
      <c r="F201" s="27">
        <f t="shared" si="40"/>
        <v>8759</v>
      </c>
      <c r="G201" s="62">
        <v>0</v>
      </c>
      <c r="H201" s="72">
        <f t="shared" si="42"/>
        <v>8759</v>
      </c>
    </row>
    <row r="202" spans="1:8" ht="12">
      <c r="A202" s="47">
        <v>199511</v>
      </c>
      <c r="B202" s="64" t="s">
        <v>114</v>
      </c>
      <c r="C202" s="56">
        <v>0</v>
      </c>
      <c r="D202" s="62">
        <v>8759</v>
      </c>
      <c r="E202" s="62">
        <v>17518</v>
      </c>
      <c r="F202" s="27">
        <f t="shared" si="40"/>
        <v>-8759</v>
      </c>
      <c r="G202" s="62">
        <v>0</v>
      </c>
      <c r="H202" s="72">
        <f t="shared" si="42"/>
        <v>-8759</v>
      </c>
    </row>
    <row r="203" spans="1:8" ht="12">
      <c r="A203" s="47">
        <v>199600</v>
      </c>
      <c r="B203" s="65" t="s">
        <v>115</v>
      </c>
      <c r="C203" s="54">
        <f aca="true" t="shared" si="53" ref="C203:H203">SUM(C204:C207)</f>
        <v>0</v>
      </c>
      <c r="D203" s="54">
        <f t="shared" si="53"/>
        <v>0</v>
      </c>
      <c r="E203" s="54">
        <f t="shared" si="53"/>
        <v>0</v>
      </c>
      <c r="F203" s="54">
        <f t="shared" si="53"/>
        <v>0</v>
      </c>
      <c r="G203" s="54">
        <f t="shared" si="53"/>
        <v>0</v>
      </c>
      <c r="H203" s="55">
        <f t="shared" si="53"/>
        <v>0</v>
      </c>
    </row>
    <row r="204" spans="1:8" ht="12">
      <c r="A204" s="47">
        <v>199601</v>
      </c>
      <c r="B204" s="64" t="s">
        <v>116</v>
      </c>
      <c r="C204" s="56">
        <v>0</v>
      </c>
      <c r="D204" s="62">
        <v>0</v>
      </c>
      <c r="E204" s="62">
        <v>0</v>
      </c>
      <c r="F204" s="27">
        <f t="shared" si="40"/>
        <v>0</v>
      </c>
      <c r="G204" s="62">
        <v>0</v>
      </c>
      <c r="H204" s="72">
        <f t="shared" si="42"/>
        <v>0</v>
      </c>
    </row>
    <row r="205" spans="1:8" ht="12">
      <c r="A205" s="47">
        <v>199603</v>
      </c>
      <c r="B205" s="64" t="s">
        <v>117</v>
      </c>
      <c r="C205" s="56">
        <v>0</v>
      </c>
      <c r="D205" s="62">
        <f>92293-92293</f>
        <v>0</v>
      </c>
      <c r="E205" s="62">
        <v>0</v>
      </c>
      <c r="F205" s="27">
        <f t="shared" si="40"/>
        <v>0</v>
      </c>
      <c r="G205" s="62">
        <v>0</v>
      </c>
      <c r="H205" s="72">
        <f t="shared" si="42"/>
        <v>0</v>
      </c>
    </row>
    <row r="206" spans="1:8" ht="12">
      <c r="A206" s="47">
        <v>199604</v>
      </c>
      <c r="B206" s="64" t="s">
        <v>118</v>
      </c>
      <c r="C206" s="56">
        <v>0</v>
      </c>
      <c r="D206" s="62">
        <f>447956-447956</f>
        <v>0</v>
      </c>
      <c r="E206" s="62">
        <v>0</v>
      </c>
      <c r="F206" s="27">
        <f t="shared" si="40"/>
        <v>0</v>
      </c>
      <c r="G206" s="62">
        <v>0</v>
      </c>
      <c r="H206" s="72">
        <f t="shared" si="42"/>
        <v>0</v>
      </c>
    </row>
    <row r="207" spans="1:8" ht="12">
      <c r="A207" s="47">
        <v>199690</v>
      </c>
      <c r="B207" s="64" t="s">
        <v>119</v>
      </c>
      <c r="C207" s="56">
        <v>0</v>
      </c>
      <c r="D207" s="62">
        <v>0</v>
      </c>
      <c r="E207" s="62">
        <v>0</v>
      </c>
      <c r="F207" s="27">
        <f t="shared" si="40"/>
        <v>0</v>
      </c>
      <c r="G207" s="62">
        <v>0</v>
      </c>
      <c r="H207" s="72">
        <f t="shared" si="42"/>
        <v>0</v>
      </c>
    </row>
    <row r="208" spans="1:8" ht="22.5">
      <c r="A208" s="47">
        <v>199700</v>
      </c>
      <c r="B208" s="65" t="s">
        <v>120</v>
      </c>
      <c r="C208" s="56">
        <f aca="true" t="shared" si="54" ref="C208:H208">SUM(C209)</f>
        <v>0</v>
      </c>
      <c r="D208" s="56">
        <f t="shared" si="54"/>
        <v>0</v>
      </c>
      <c r="E208" s="56">
        <f t="shared" si="54"/>
        <v>0</v>
      </c>
      <c r="F208" s="56">
        <f t="shared" si="54"/>
        <v>0</v>
      </c>
      <c r="G208" s="56">
        <f t="shared" si="54"/>
        <v>0</v>
      </c>
      <c r="H208" s="57">
        <f t="shared" si="54"/>
        <v>0</v>
      </c>
    </row>
    <row r="209" spans="1:8" ht="12">
      <c r="A209" s="47">
        <v>199701</v>
      </c>
      <c r="B209" s="64" t="s">
        <v>116</v>
      </c>
      <c r="C209" s="56">
        <v>0</v>
      </c>
      <c r="D209" s="62">
        <v>0</v>
      </c>
      <c r="E209" s="62">
        <v>0</v>
      </c>
      <c r="F209" s="27">
        <f>+C209+D209-E209</f>
        <v>0</v>
      </c>
      <c r="G209" s="62">
        <v>0</v>
      </c>
      <c r="H209" s="72">
        <f t="shared" si="42"/>
        <v>0</v>
      </c>
    </row>
    <row r="210" spans="1:8" ht="12">
      <c r="A210" s="47">
        <v>199900</v>
      </c>
      <c r="B210" s="65" t="s">
        <v>121</v>
      </c>
      <c r="C210" s="54">
        <f aca="true" t="shared" si="55" ref="C210:H210">SUM(C211:C218)</f>
        <v>3369681</v>
      </c>
      <c r="D210" s="54">
        <f t="shared" si="55"/>
        <v>0</v>
      </c>
      <c r="E210" s="54">
        <f t="shared" si="55"/>
        <v>0</v>
      </c>
      <c r="F210" s="54">
        <f t="shared" si="55"/>
        <v>3369681</v>
      </c>
      <c r="G210" s="54">
        <f t="shared" si="55"/>
        <v>0</v>
      </c>
      <c r="H210" s="55">
        <f t="shared" si="55"/>
        <v>3369681</v>
      </c>
    </row>
    <row r="211" spans="1:8" ht="12">
      <c r="A211" s="47">
        <v>199951</v>
      </c>
      <c r="B211" s="64" t="s">
        <v>122</v>
      </c>
      <c r="C211" s="56">
        <v>0</v>
      </c>
      <c r="D211" s="52">
        <f>2923-2923</f>
        <v>0</v>
      </c>
      <c r="E211" s="52">
        <v>0</v>
      </c>
      <c r="F211" s="27">
        <f aca="true" t="shared" si="56" ref="F211:F218">+C211+D211-E211</f>
        <v>0</v>
      </c>
      <c r="G211" s="52">
        <v>0</v>
      </c>
      <c r="H211" s="72">
        <f t="shared" si="42"/>
        <v>0</v>
      </c>
    </row>
    <row r="212" spans="1:8" ht="12">
      <c r="A212" s="47">
        <v>199952</v>
      </c>
      <c r="B212" s="64" t="s">
        <v>123</v>
      </c>
      <c r="C212" s="56">
        <v>976340</v>
      </c>
      <c r="D212" s="62">
        <v>0</v>
      </c>
      <c r="E212" s="62">
        <v>0</v>
      </c>
      <c r="F212" s="27">
        <f t="shared" si="56"/>
        <v>976340</v>
      </c>
      <c r="G212" s="62">
        <v>0</v>
      </c>
      <c r="H212" s="72">
        <f t="shared" si="42"/>
        <v>976340</v>
      </c>
    </row>
    <row r="213" spans="1:8" ht="12">
      <c r="A213" s="47">
        <v>199959</v>
      </c>
      <c r="B213" s="64" t="s">
        <v>124</v>
      </c>
      <c r="C213" s="56">
        <v>0</v>
      </c>
      <c r="D213" s="62">
        <v>0</v>
      </c>
      <c r="E213" s="62">
        <v>0</v>
      </c>
      <c r="F213" s="27">
        <f t="shared" si="56"/>
        <v>0</v>
      </c>
      <c r="G213" s="62">
        <v>0</v>
      </c>
      <c r="H213" s="72">
        <f t="shared" si="42"/>
        <v>0</v>
      </c>
    </row>
    <row r="214" spans="1:8" ht="12">
      <c r="A214" s="47">
        <v>199962</v>
      </c>
      <c r="B214" s="64" t="s">
        <v>61</v>
      </c>
      <c r="C214" s="56">
        <v>2393341</v>
      </c>
      <c r="D214" s="62">
        <v>0</v>
      </c>
      <c r="E214" s="62">
        <v>0</v>
      </c>
      <c r="F214" s="27">
        <f t="shared" si="56"/>
        <v>2393341</v>
      </c>
      <c r="G214" s="62">
        <v>0</v>
      </c>
      <c r="H214" s="72">
        <f>+F214</f>
        <v>2393341</v>
      </c>
    </row>
    <row r="215" spans="1:8" ht="12">
      <c r="A215" s="47">
        <v>199968</v>
      </c>
      <c r="B215" s="64" t="s">
        <v>125</v>
      </c>
      <c r="C215" s="56">
        <v>0</v>
      </c>
      <c r="D215" s="62">
        <v>0</v>
      </c>
      <c r="E215" s="62">
        <v>0</v>
      </c>
      <c r="F215" s="27">
        <f t="shared" si="56"/>
        <v>0</v>
      </c>
      <c r="G215" s="62">
        <v>0</v>
      </c>
      <c r="H215" s="72">
        <f>+F215</f>
        <v>0</v>
      </c>
    </row>
    <row r="216" spans="1:8" ht="12">
      <c r="A216" s="47">
        <v>199969</v>
      </c>
      <c r="B216" s="64" t="s">
        <v>126</v>
      </c>
      <c r="C216" s="56">
        <v>0</v>
      </c>
      <c r="D216" s="62">
        <v>0</v>
      </c>
      <c r="E216" s="62">
        <v>0</v>
      </c>
      <c r="F216" s="27">
        <f t="shared" si="56"/>
        <v>0</v>
      </c>
      <c r="G216" s="62">
        <v>0</v>
      </c>
      <c r="H216" s="72">
        <f>+F216</f>
        <v>0</v>
      </c>
    </row>
    <row r="217" spans="1:8" ht="12">
      <c r="A217" s="47">
        <v>199970</v>
      </c>
      <c r="B217" s="64" t="s">
        <v>127</v>
      </c>
      <c r="C217" s="56">
        <v>0</v>
      </c>
      <c r="D217" s="62">
        <v>0</v>
      </c>
      <c r="E217" s="62">
        <v>0</v>
      </c>
      <c r="F217" s="27">
        <f t="shared" si="56"/>
        <v>0</v>
      </c>
      <c r="G217" s="62">
        <v>0</v>
      </c>
      <c r="H217" s="72">
        <f>+F217</f>
        <v>0</v>
      </c>
    </row>
    <row r="218" spans="1:8" ht="12">
      <c r="A218" s="47">
        <v>199971</v>
      </c>
      <c r="B218" s="64" t="s">
        <v>128</v>
      </c>
      <c r="C218" s="56">
        <v>0</v>
      </c>
      <c r="D218" s="62">
        <v>0</v>
      </c>
      <c r="E218" s="62">
        <v>0</v>
      </c>
      <c r="F218" s="27">
        <f t="shared" si="56"/>
        <v>0</v>
      </c>
      <c r="G218" s="62">
        <v>0</v>
      </c>
      <c r="H218" s="72">
        <f>+F218</f>
        <v>0</v>
      </c>
    </row>
    <row r="219" spans="1:8" ht="12">
      <c r="A219" s="47">
        <v>200000</v>
      </c>
      <c r="B219" s="65" t="s">
        <v>129</v>
      </c>
      <c r="C219" s="60">
        <f aca="true" t="shared" si="57" ref="C219:H219">C220+C223+C282+C291+C302</f>
        <v>2487739465</v>
      </c>
      <c r="D219" s="60">
        <f t="shared" si="57"/>
        <v>6229401593</v>
      </c>
      <c r="E219" s="60">
        <f t="shared" si="57"/>
        <v>4599351646</v>
      </c>
      <c r="F219" s="60">
        <f t="shared" si="57"/>
        <v>857689518</v>
      </c>
      <c r="G219" s="60">
        <f t="shared" si="57"/>
        <v>857689518</v>
      </c>
      <c r="H219" s="61">
        <f t="shared" si="57"/>
        <v>0</v>
      </c>
    </row>
    <row r="220" spans="1:8" ht="12">
      <c r="A220" s="47">
        <v>220000</v>
      </c>
      <c r="B220" s="65" t="s">
        <v>130</v>
      </c>
      <c r="C220" s="60">
        <f aca="true" t="shared" si="58" ref="C220:H220">C221</f>
        <v>27433525</v>
      </c>
      <c r="D220" s="60">
        <f t="shared" si="58"/>
        <v>0</v>
      </c>
      <c r="E220" s="60">
        <f t="shared" si="58"/>
        <v>0</v>
      </c>
      <c r="F220" s="60">
        <f t="shared" si="58"/>
        <v>27433525</v>
      </c>
      <c r="G220" s="60">
        <f t="shared" si="58"/>
        <v>27433525</v>
      </c>
      <c r="H220" s="61">
        <f t="shared" si="58"/>
        <v>0</v>
      </c>
    </row>
    <row r="221" spans="1:8" ht="22.5">
      <c r="A221" s="47">
        <v>224600</v>
      </c>
      <c r="B221" s="65" t="s">
        <v>131</v>
      </c>
      <c r="C221" s="60">
        <f aca="true" t="shared" si="59" ref="C221:H221">SUM(C222)</f>
        <v>27433525</v>
      </c>
      <c r="D221" s="60">
        <f t="shared" si="59"/>
        <v>0</v>
      </c>
      <c r="E221" s="60">
        <f t="shared" si="59"/>
        <v>0</v>
      </c>
      <c r="F221" s="60">
        <f t="shared" si="59"/>
        <v>27433525</v>
      </c>
      <c r="G221" s="60">
        <f t="shared" si="59"/>
        <v>27433525</v>
      </c>
      <c r="H221" s="61">
        <f t="shared" si="59"/>
        <v>0</v>
      </c>
    </row>
    <row r="222" spans="1:8" ht="12">
      <c r="A222" s="47">
        <v>224625</v>
      </c>
      <c r="B222" s="64" t="s">
        <v>132</v>
      </c>
      <c r="C222" s="71">
        <v>27433525</v>
      </c>
      <c r="D222" s="62">
        <v>0</v>
      </c>
      <c r="E222" s="62">
        <v>0</v>
      </c>
      <c r="F222" s="27">
        <f>+C222+D222-E222</f>
        <v>27433525</v>
      </c>
      <c r="G222" s="62">
        <f>+F222</f>
        <v>27433525</v>
      </c>
      <c r="H222" s="61">
        <v>0</v>
      </c>
    </row>
    <row r="223" spans="1:8" ht="12">
      <c r="A223" s="47">
        <v>240000</v>
      </c>
      <c r="B223" s="65" t="s">
        <v>133</v>
      </c>
      <c r="C223" s="60">
        <f aca="true" t="shared" si="60" ref="C223:H223">C224+C227+C236+C256+C258+C269+C271+C277+C280</f>
        <v>802671161</v>
      </c>
      <c r="D223" s="60">
        <f t="shared" si="60"/>
        <v>2912553544</v>
      </c>
      <c r="E223" s="60">
        <f t="shared" si="60"/>
        <v>2938970134</v>
      </c>
      <c r="F223" s="60">
        <f t="shared" si="60"/>
        <v>829087751</v>
      </c>
      <c r="G223" s="60">
        <f t="shared" si="60"/>
        <v>829087751</v>
      </c>
      <c r="H223" s="61">
        <f t="shared" si="60"/>
        <v>0</v>
      </c>
    </row>
    <row r="224" spans="1:8" ht="12">
      <c r="A224" s="47">
        <v>240100</v>
      </c>
      <c r="B224" s="65" t="s">
        <v>134</v>
      </c>
      <c r="C224" s="60">
        <f aca="true" t="shared" si="61" ref="C224:H224">SUM(C225:C226)</f>
        <v>80781</v>
      </c>
      <c r="D224" s="60">
        <f t="shared" si="61"/>
        <v>79115571</v>
      </c>
      <c r="E224" s="60">
        <f t="shared" si="61"/>
        <v>79585271</v>
      </c>
      <c r="F224" s="60">
        <f t="shared" si="61"/>
        <v>550481</v>
      </c>
      <c r="G224" s="60">
        <f t="shared" si="61"/>
        <v>550481</v>
      </c>
      <c r="H224" s="61">
        <f t="shared" si="61"/>
        <v>0</v>
      </c>
    </row>
    <row r="225" spans="1:8" ht="12">
      <c r="A225" s="47">
        <v>240101</v>
      </c>
      <c r="B225" s="64" t="s">
        <v>135</v>
      </c>
      <c r="C225" s="71">
        <v>80781</v>
      </c>
      <c r="D225" s="71">
        <v>531662</v>
      </c>
      <c r="E225" s="71">
        <f>547264-78340</f>
        <v>468924</v>
      </c>
      <c r="F225" s="27">
        <f>C225-D225+E225</f>
        <v>18043</v>
      </c>
      <c r="G225" s="62">
        <f aca="true" t="shared" si="62" ref="G225:G281">+F225</f>
        <v>18043</v>
      </c>
      <c r="H225" s="72">
        <v>0</v>
      </c>
    </row>
    <row r="226" spans="1:8" ht="12">
      <c r="A226" s="47">
        <v>240102</v>
      </c>
      <c r="B226" s="64" t="s">
        <v>136</v>
      </c>
      <c r="C226" s="71">
        <v>0</v>
      </c>
      <c r="D226" s="62">
        <v>78583909</v>
      </c>
      <c r="E226" s="62">
        <v>79116347</v>
      </c>
      <c r="F226" s="27">
        <f>C226-D226+E226</f>
        <v>532438</v>
      </c>
      <c r="G226" s="62">
        <f t="shared" si="62"/>
        <v>532438</v>
      </c>
      <c r="H226" s="72">
        <v>0</v>
      </c>
    </row>
    <row r="227" spans="1:8" ht="12">
      <c r="A227" s="47">
        <v>240300</v>
      </c>
      <c r="B227" s="65" t="s">
        <v>137</v>
      </c>
      <c r="C227" s="60">
        <f aca="true" t="shared" si="63" ref="C227:H227">SUM(C228:C235)</f>
        <v>801452808</v>
      </c>
      <c r="D227" s="60">
        <f t="shared" si="63"/>
        <v>2823504918</v>
      </c>
      <c r="E227" s="60">
        <f t="shared" si="63"/>
        <v>2849039080</v>
      </c>
      <c r="F227" s="60">
        <f t="shared" si="63"/>
        <v>826986970</v>
      </c>
      <c r="G227" s="60">
        <f t="shared" si="63"/>
        <v>826986970</v>
      </c>
      <c r="H227" s="61">
        <f t="shared" si="63"/>
        <v>0</v>
      </c>
    </row>
    <row r="228" spans="1:8" ht="12">
      <c r="A228" s="47">
        <v>240303</v>
      </c>
      <c r="B228" s="64" t="s">
        <v>138</v>
      </c>
      <c r="C228" s="62">
        <v>0</v>
      </c>
      <c r="D228" s="62">
        <v>276634</v>
      </c>
      <c r="E228" s="62">
        <v>275988</v>
      </c>
      <c r="F228" s="27">
        <f>C228-D228+E228</f>
        <v>-646</v>
      </c>
      <c r="G228" s="62">
        <f t="shared" si="62"/>
        <v>-646</v>
      </c>
      <c r="H228" s="63">
        <v>0</v>
      </c>
    </row>
    <row r="229" spans="1:8" ht="12">
      <c r="A229" s="47">
        <v>240304</v>
      </c>
      <c r="B229" s="64" t="s">
        <v>139</v>
      </c>
      <c r="C229" s="62">
        <v>83556220</v>
      </c>
      <c r="D229" s="62">
        <v>666833157</v>
      </c>
      <c r="E229" s="62">
        <v>665870658</v>
      </c>
      <c r="F229" s="27">
        <f>C229-D229+E229</f>
        <v>82593721</v>
      </c>
      <c r="G229" s="62">
        <f t="shared" si="62"/>
        <v>82593721</v>
      </c>
      <c r="H229" s="63">
        <v>0</v>
      </c>
    </row>
    <row r="230" spans="1:8" ht="12">
      <c r="A230" s="47">
        <v>240305</v>
      </c>
      <c r="B230" s="64" t="s">
        <v>140</v>
      </c>
      <c r="C230" s="62">
        <v>1899</v>
      </c>
      <c r="D230" s="62">
        <v>628865</v>
      </c>
      <c r="E230" s="62">
        <v>635459</v>
      </c>
      <c r="F230" s="27">
        <f>C230-D230+E230</f>
        <v>8493</v>
      </c>
      <c r="G230" s="62">
        <f t="shared" si="62"/>
        <v>8493</v>
      </c>
      <c r="H230" s="63">
        <v>0</v>
      </c>
    </row>
    <row r="231" spans="1:8" ht="12">
      <c r="A231" s="47">
        <v>240307</v>
      </c>
      <c r="B231" s="64" t="s">
        <v>141</v>
      </c>
      <c r="C231" s="62">
        <v>0</v>
      </c>
      <c r="D231" s="62">
        <v>0</v>
      </c>
      <c r="E231" s="62">
        <v>0</v>
      </c>
      <c r="F231" s="27">
        <f>+C231+D231-E231</f>
        <v>0</v>
      </c>
      <c r="G231" s="62">
        <f t="shared" si="62"/>
        <v>0</v>
      </c>
      <c r="H231" s="63">
        <v>0</v>
      </c>
    </row>
    <row r="232" spans="1:8" ht="12">
      <c r="A232" s="47">
        <v>240308</v>
      </c>
      <c r="B232" s="64" t="s">
        <v>142</v>
      </c>
      <c r="C232" s="62">
        <v>0</v>
      </c>
      <c r="D232" s="62">
        <v>0</v>
      </c>
      <c r="E232" s="62">
        <v>0</v>
      </c>
      <c r="F232" s="27">
        <f>+C232+D232-E232</f>
        <v>0</v>
      </c>
      <c r="G232" s="62">
        <f t="shared" si="62"/>
        <v>0</v>
      </c>
      <c r="H232" s="63">
        <v>0</v>
      </c>
    </row>
    <row r="233" spans="1:8" ht="12">
      <c r="A233" s="47">
        <v>240311</v>
      </c>
      <c r="B233" s="64" t="s">
        <v>143</v>
      </c>
      <c r="C233" s="62">
        <v>0</v>
      </c>
      <c r="D233" s="62">
        <v>635710</v>
      </c>
      <c r="E233" s="62">
        <v>635710</v>
      </c>
      <c r="F233" s="27">
        <f>+C233+D233-E233</f>
        <v>0</v>
      </c>
      <c r="G233" s="62">
        <f t="shared" si="62"/>
        <v>0</v>
      </c>
      <c r="H233" s="63">
        <v>0</v>
      </c>
    </row>
    <row r="234" spans="1:8" ht="12">
      <c r="A234" s="47">
        <v>240313</v>
      </c>
      <c r="B234" s="64" t="s">
        <v>143</v>
      </c>
      <c r="C234" s="62">
        <v>0</v>
      </c>
      <c r="D234" s="62">
        <v>0</v>
      </c>
      <c r="E234" s="62">
        <v>0</v>
      </c>
      <c r="F234" s="27">
        <f>+C234+D234-E234</f>
        <v>0</v>
      </c>
      <c r="G234" s="62">
        <f t="shared" si="62"/>
        <v>0</v>
      </c>
      <c r="H234" s="63">
        <v>0</v>
      </c>
    </row>
    <row r="235" spans="1:8" ht="12">
      <c r="A235" s="47">
        <v>240314</v>
      </c>
      <c r="B235" s="64" t="s">
        <v>144</v>
      </c>
      <c r="C235" s="62">
        <v>717894689</v>
      </c>
      <c r="D235" s="62">
        <v>2155130552</v>
      </c>
      <c r="E235" s="62">
        <v>2181621265</v>
      </c>
      <c r="F235" s="27">
        <f>C235-D235+E235</f>
        <v>744385402</v>
      </c>
      <c r="G235" s="62">
        <f t="shared" si="62"/>
        <v>744385402</v>
      </c>
      <c r="H235" s="63">
        <v>0</v>
      </c>
    </row>
    <row r="236" spans="1:8" ht="12">
      <c r="A236" s="47">
        <v>242500</v>
      </c>
      <c r="B236" s="65" t="s">
        <v>145</v>
      </c>
      <c r="C236" s="69">
        <f aca="true" t="shared" si="64" ref="C236:H236">SUM(C237:C255)</f>
        <v>293900</v>
      </c>
      <c r="D236" s="69">
        <f t="shared" si="64"/>
        <v>1547926</v>
      </c>
      <c r="E236" s="69">
        <f t="shared" si="64"/>
        <v>1316168</v>
      </c>
      <c r="F236" s="69">
        <f t="shared" si="64"/>
        <v>62142</v>
      </c>
      <c r="G236" s="69">
        <f t="shared" si="64"/>
        <v>62142</v>
      </c>
      <c r="H236" s="70">
        <f t="shared" si="64"/>
        <v>0</v>
      </c>
    </row>
    <row r="237" spans="1:8" ht="12">
      <c r="A237" s="47">
        <v>242501</v>
      </c>
      <c r="B237" s="64" t="s">
        <v>146</v>
      </c>
      <c r="C237" s="71">
        <v>22120</v>
      </c>
      <c r="D237" s="62">
        <v>266681</v>
      </c>
      <c r="E237" s="62">
        <v>272061</v>
      </c>
      <c r="F237" s="27">
        <f>C237-D237+E237</f>
        <v>27500</v>
      </c>
      <c r="G237" s="62">
        <f t="shared" si="62"/>
        <v>27500</v>
      </c>
      <c r="H237" s="72">
        <v>0</v>
      </c>
    </row>
    <row r="238" spans="1:8" ht="12">
      <c r="A238" s="47">
        <v>242504</v>
      </c>
      <c r="B238" s="64" t="s">
        <v>147</v>
      </c>
      <c r="C238" s="71">
        <v>0</v>
      </c>
      <c r="D238" s="62">
        <v>150008</v>
      </c>
      <c r="E238" s="62">
        <v>150008</v>
      </c>
      <c r="F238" s="27">
        <f>+C238+D238-E238</f>
        <v>0</v>
      </c>
      <c r="G238" s="62">
        <f t="shared" si="62"/>
        <v>0</v>
      </c>
      <c r="H238" s="72">
        <v>0</v>
      </c>
    </row>
    <row r="239" spans="1:8" ht="12">
      <c r="A239" s="47">
        <v>242507</v>
      </c>
      <c r="B239" s="64" t="s">
        <v>0</v>
      </c>
      <c r="C239" s="71">
        <v>0</v>
      </c>
      <c r="D239" s="62">
        <v>0</v>
      </c>
      <c r="E239" s="62">
        <v>0</v>
      </c>
      <c r="F239" s="27">
        <f>+C239+D239-E239</f>
        <v>0</v>
      </c>
      <c r="G239" s="62">
        <f t="shared" si="62"/>
        <v>0</v>
      </c>
      <c r="H239" s="72">
        <v>0</v>
      </c>
    </row>
    <row r="240" spans="1:8" ht="12">
      <c r="A240" s="47">
        <v>242508</v>
      </c>
      <c r="B240" s="64" t="s">
        <v>148</v>
      </c>
      <c r="C240" s="71">
        <v>1057</v>
      </c>
      <c r="D240" s="62">
        <v>2736</v>
      </c>
      <c r="E240" s="62">
        <v>2736</v>
      </c>
      <c r="F240" s="27">
        <f>C240-D240+E240</f>
        <v>1057</v>
      </c>
      <c r="G240" s="62">
        <f t="shared" si="62"/>
        <v>1057</v>
      </c>
      <c r="H240" s="72">
        <v>0</v>
      </c>
    </row>
    <row r="241" spans="1:8" ht="12">
      <c r="A241" s="47">
        <v>242510</v>
      </c>
      <c r="B241" s="64" t="s">
        <v>68</v>
      </c>
      <c r="C241" s="71">
        <v>0</v>
      </c>
      <c r="D241" s="62">
        <v>0</v>
      </c>
      <c r="E241" s="62">
        <v>0</v>
      </c>
      <c r="F241" s="27">
        <f>+C241+D241-E241</f>
        <v>0</v>
      </c>
      <c r="G241" s="62">
        <f t="shared" si="62"/>
        <v>0</v>
      </c>
      <c r="H241" s="72">
        <v>0</v>
      </c>
    </row>
    <row r="242" spans="1:8" ht="12">
      <c r="A242" s="47">
        <v>242513</v>
      </c>
      <c r="B242" s="64" t="s">
        <v>149</v>
      </c>
      <c r="C242" s="71">
        <v>1816</v>
      </c>
      <c r="D242" s="62">
        <v>0</v>
      </c>
      <c r="E242" s="62">
        <v>797</v>
      </c>
      <c r="F242" s="27">
        <f>C242-D242+E242</f>
        <v>2613</v>
      </c>
      <c r="G242" s="62">
        <f t="shared" si="62"/>
        <v>2613</v>
      </c>
      <c r="H242" s="72">
        <v>0</v>
      </c>
    </row>
    <row r="243" spans="1:8" ht="12">
      <c r="A243" s="47">
        <v>242518</v>
      </c>
      <c r="B243" s="64" t="s">
        <v>150</v>
      </c>
      <c r="C243" s="71">
        <v>114079</v>
      </c>
      <c r="D243" s="62">
        <v>463488</v>
      </c>
      <c r="E243" s="62">
        <f>365844-3392</f>
        <v>362452</v>
      </c>
      <c r="F243" s="27">
        <f>C243-D243+E243</f>
        <v>13043</v>
      </c>
      <c r="G243" s="62">
        <f t="shared" si="62"/>
        <v>13043</v>
      </c>
      <c r="H243" s="72">
        <v>0</v>
      </c>
    </row>
    <row r="244" spans="1:8" ht="12">
      <c r="A244" s="47">
        <v>242519</v>
      </c>
      <c r="B244" s="64" t="s">
        <v>151</v>
      </c>
      <c r="C244" s="71">
        <v>76397</v>
      </c>
      <c r="D244" s="62">
        <v>279300</v>
      </c>
      <c r="E244" s="62">
        <f>221470-7339</f>
        <v>214131</v>
      </c>
      <c r="F244" s="27">
        <f>C244-D244+E244</f>
        <v>11228</v>
      </c>
      <c r="G244" s="62">
        <f t="shared" si="62"/>
        <v>11228</v>
      </c>
      <c r="H244" s="72">
        <v>0</v>
      </c>
    </row>
    <row r="245" spans="1:8" ht="12">
      <c r="A245" s="47">
        <v>242520</v>
      </c>
      <c r="B245" s="64" t="s">
        <v>152</v>
      </c>
      <c r="C245" s="71">
        <v>61139</v>
      </c>
      <c r="D245" s="62">
        <v>184574</v>
      </c>
      <c r="E245" s="62">
        <f>127012-3577</f>
        <v>123435</v>
      </c>
      <c r="F245" s="27">
        <f>C245-D245+E245</f>
        <v>0</v>
      </c>
      <c r="G245" s="62">
        <f t="shared" si="62"/>
        <v>0</v>
      </c>
      <c r="H245" s="72">
        <v>0</v>
      </c>
    </row>
    <row r="246" spans="1:8" ht="12">
      <c r="A246" s="47">
        <v>242521</v>
      </c>
      <c r="B246" s="64" t="s">
        <v>153</v>
      </c>
      <c r="C246" s="71">
        <v>0</v>
      </c>
      <c r="D246" s="71">
        <v>815</v>
      </c>
      <c r="E246" s="71">
        <v>815</v>
      </c>
      <c r="F246" s="27">
        <f>+C246+D246-E246</f>
        <v>0</v>
      </c>
      <c r="G246" s="62">
        <f t="shared" si="62"/>
        <v>0</v>
      </c>
      <c r="H246" s="72">
        <v>0</v>
      </c>
    </row>
    <row r="247" spans="1:8" ht="12">
      <c r="A247" s="47">
        <v>242522</v>
      </c>
      <c r="B247" s="64" t="s">
        <v>154</v>
      </c>
      <c r="C247" s="71">
        <v>0</v>
      </c>
      <c r="D247" s="71">
        <v>59794</v>
      </c>
      <c r="E247" s="71">
        <v>59949</v>
      </c>
      <c r="F247" s="27">
        <f>C247-D247+E247</f>
        <v>155</v>
      </c>
      <c r="G247" s="62">
        <f t="shared" si="62"/>
        <v>155</v>
      </c>
      <c r="H247" s="72">
        <v>0</v>
      </c>
    </row>
    <row r="248" spans="1:8" ht="12">
      <c r="A248" s="47">
        <v>242524</v>
      </c>
      <c r="B248" s="64" t="s">
        <v>155</v>
      </c>
      <c r="C248" s="71">
        <v>0</v>
      </c>
      <c r="D248" s="71">
        <v>6533</v>
      </c>
      <c r="E248" s="71">
        <f>6895-362</f>
        <v>6533</v>
      </c>
      <c r="F248" s="27">
        <f>C248-D248+E248</f>
        <v>0</v>
      </c>
      <c r="G248" s="62">
        <f t="shared" si="62"/>
        <v>0</v>
      </c>
      <c r="H248" s="72">
        <v>0</v>
      </c>
    </row>
    <row r="249" spans="1:8" ht="12">
      <c r="A249" s="47">
        <v>242529</v>
      </c>
      <c r="B249" s="64" t="s">
        <v>156</v>
      </c>
      <c r="C249" s="71">
        <v>0</v>
      </c>
      <c r="D249" s="71">
        <v>0</v>
      </c>
      <c r="E249" s="71">
        <f>185-185</f>
        <v>0</v>
      </c>
      <c r="F249" s="27">
        <f>C249-D249+E249</f>
        <v>0</v>
      </c>
      <c r="G249" s="62">
        <f t="shared" si="62"/>
        <v>0</v>
      </c>
      <c r="H249" s="72">
        <v>0</v>
      </c>
    </row>
    <row r="250" spans="1:8" ht="12">
      <c r="A250" s="47">
        <v>242532</v>
      </c>
      <c r="B250" s="64" t="s">
        <v>157</v>
      </c>
      <c r="C250" s="71">
        <v>3160</v>
      </c>
      <c r="D250" s="71">
        <v>11604</v>
      </c>
      <c r="E250" s="71">
        <f>8646-202</f>
        <v>8444</v>
      </c>
      <c r="F250" s="27">
        <f>C250-D250+E250</f>
        <v>0</v>
      </c>
      <c r="G250" s="62">
        <f t="shared" si="62"/>
        <v>0</v>
      </c>
      <c r="H250" s="72">
        <v>0</v>
      </c>
    </row>
    <row r="251" spans="1:8" ht="12">
      <c r="A251" s="47">
        <v>242533</v>
      </c>
      <c r="B251" s="64" t="s">
        <v>158</v>
      </c>
      <c r="C251" s="71">
        <v>0</v>
      </c>
      <c r="D251" s="71">
        <v>0</v>
      </c>
      <c r="E251" s="71">
        <v>0</v>
      </c>
      <c r="F251" s="27">
        <f>+C251+D251-E251</f>
        <v>0</v>
      </c>
      <c r="G251" s="62">
        <f t="shared" si="62"/>
        <v>0</v>
      </c>
      <c r="H251" s="72">
        <v>0</v>
      </c>
    </row>
    <row r="252" spans="1:8" ht="12">
      <c r="A252" s="47">
        <v>242535</v>
      </c>
      <c r="B252" s="64" t="s">
        <v>159</v>
      </c>
      <c r="C252" s="71">
        <v>1700</v>
      </c>
      <c r="D252" s="71">
        <v>54729</v>
      </c>
      <c r="E252" s="71">
        <f>60158-6817</f>
        <v>53341</v>
      </c>
      <c r="F252" s="27">
        <f>C252-D252+E252</f>
        <v>312</v>
      </c>
      <c r="G252" s="62">
        <f t="shared" si="62"/>
        <v>312</v>
      </c>
      <c r="H252" s="72">
        <v>0</v>
      </c>
    </row>
    <row r="253" spans="1:8" ht="12">
      <c r="A253" s="47">
        <v>242541</v>
      </c>
      <c r="B253" s="64" t="s">
        <v>160</v>
      </c>
      <c r="C253" s="71">
        <v>12432</v>
      </c>
      <c r="D253" s="71">
        <v>44008</v>
      </c>
      <c r="E253" s="71">
        <v>31576</v>
      </c>
      <c r="F253" s="27">
        <f>C253-D253+E253</f>
        <v>0</v>
      </c>
      <c r="G253" s="62">
        <f t="shared" si="62"/>
        <v>0</v>
      </c>
      <c r="H253" s="72">
        <v>0</v>
      </c>
    </row>
    <row r="254" spans="1:8" ht="12">
      <c r="A254" s="47">
        <v>242546</v>
      </c>
      <c r="B254" s="64" t="s">
        <v>161</v>
      </c>
      <c r="C254" s="71">
        <v>0</v>
      </c>
      <c r="D254" s="71">
        <v>9379</v>
      </c>
      <c r="E254" s="71">
        <v>13635</v>
      </c>
      <c r="F254" s="27">
        <f>C254-D254+E254</f>
        <v>4256</v>
      </c>
      <c r="G254" s="62">
        <f t="shared" si="62"/>
        <v>4256</v>
      </c>
      <c r="H254" s="72">
        <v>0</v>
      </c>
    </row>
    <row r="255" spans="1:8" ht="12">
      <c r="A255" s="47">
        <v>242590</v>
      </c>
      <c r="B255" s="64" t="s">
        <v>162</v>
      </c>
      <c r="C255" s="71">
        <v>0</v>
      </c>
      <c r="D255" s="71">
        <v>14277</v>
      </c>
      <c r="E255" s="71">
        <v>16255</v>
      </c>
      <c r="F255" s="27">
        <f>C255-D255+E255</f>
        <v>1978</v>
      </c>
      <c r="G255" s="62">
        <f t="shared" si="62"/>
        <v>1978</v>
      </c>
      <c r="H255" s="72">
        <v>0</v>
      </c>
    </row>
    <row r="256" spans="1:8" ht="12">
      <c r="A256" s="47">
        <v>243000</v>
      </c>
      <c r="B256" s="65" t="s">
        <v>163</v>
      </c>
      <c r="C256" s="69">
        <f aca="true" t="shared" si="65" ref="C256:H256">SUM(C257)</f>
        <v>0</v>
      </c>
      <c r="D256" s="69">
        <f t="shared" si="65"/>
        <v>0</v>
      </c>
      <c r="E256" s="69">
        <f t="shared" si="65"/>
        <v>0</v>
      </c>
      <c r="F256" s="69">
        <f t="shared" si="65"/>
        <v>0</v>
      </c>
      <c r="G256" s="69">
        <f t="shared" si="65"/>
        <v>0</v>
      </c>
      <c r="H256" s="70">
        <f t="shared" si="65"/>
        <v>0</v>
      </c>
    </row>
    <row r="257" spans="1:8" ht="12">
      <c r="A257" s="47">
        <v>243002</v>
      </c>
      <c r="B257" s="64" t="s">
        <v>164</v>
      </c>
      <c r="C257" s="71">
        <v>0</v>
      </c>
      <c r="D257" s="62">
        <v>0</v>
      </c>
      <c r="E257" s="62">
        <v>0</v>
      </c>
      <c r="F257" s="27">
        <f>+C257+D257-E257</f>
        <v>0</v>
      </c>
      <c r="G257" s="62">
        <f t="shared" si="62"/>
        <v>0</v>
      </c>
      <c r="H257" s="72">
        <v>0</v>
      </c>
    </row>
    <row r="258" spans="1:8" ht="12">
      <c r="A258" s="47">
        <v>243600</v>
      </c>
      <c r="B258" s="65" t="s">
        <v>165</v>
      </c>
      <c r="C258" s="69">
        <f aca="true" t="shared" si="66" ref="C258:H258">SUM(C259:C268)</f>
        <v>301221</v>
      </c>
      <c r="D258" s="69">
        <f t="shared" si="66"/>
        <v>630015</v>
      </c>
      <c r="E258" s="69">
        <f t="shared" si="66"/>
        <v>747750</v>
      </c>
      <c r="F258" s="69">
        <f t="shared" si="66"/>
        <v>418956</v>
      </c>
      <c r="G258" s="69">
        <f t="shared" si="66"/>
        <v>418956</v>
      </c>
      <c r="H258" s="70">
        <f t="shared" si="66"/>
        <v>0</v>
      </c>
    </row>
    <row r="259" spans="1:8" ht="12">
      <c r="A259" s="47">
        <v>243601</v>
      </c>
      <c r="B259" s="64" t="s">
        <v>166</v>
      </c>
      <c r="C259" s="71">
        <v>46372</v>
      </c>
      <c r="D259" s="62">
        <v>74199</v>
      </c>
      <c r="E259" s="62">
        <v>69415</v>
      </c>
      <c r="F259" s="27">
        <f aca="true" t="shared" si="67" ref="F259:F270">C259-D259+E259</f>
        <v>41588</v>
      </c>
      <c r="G259" s="62">
        <f t="shared" si="62"/>
        <v>41588</v>
      </c>
      <c r="H259" s="72">
        <v>0</v>
      </c>
    </row>
    <row r="260" spans="1:8" ht="12">
      <c r="A260" s="47">
        <v>243602</v>
      </c>
      <c r="B260" s="64" t="s">
        <v>167</v>
      </c>
      <c r="C260" s="71">
        <v>0</v>
      </c>
      <c r="D260" s="62">
        <v>0</v>
      </c>
      <c r="E260" s="62">
        <v>0</v>
      </c>
      <c r="F260" s="27">
        <f t="shared" si="67"/>
        <v>0</v>
      </c>
      <c r="G260" s="62">
        <f t="shared" si="62"/>
        <v>0</v>
      </c>
      <c r="H260" s="72">
        <v>0</v>
      </c>
    </row>
    <row r="261" spans="1:8" ht="12">
      <c r="A261" s="47">
        <v>243603</v>
      </c>
      <c r="B261" s="64" t="s">
        <v>168</v>
      </c>
      <c r="C261" s="71">
        <v>128514</v>
      </c>
      <c r="D261" s="62">
        <v>299434</v>
      </c>
      <c r="E261" s="62">
        <f>301040-11324</f>
        <v>289716</v>
      </c>
      <c r="F261" s="27">
        <f t="shared" si="67"/>
        <v>118796</v>
      </c>
      <c r="G261" s="62">
        <f t="shared" si="62"/>
        <v>118796</v>
      </c>
      <c r="H261" s="72">
        <v>0</v>
      </c>
    </row>
    <row r="262" spans="1:8" ht="12">
      <c r="A262" s="47">
        <v>243604</v>
      </c>
      <c r="B262" s="64" t="s">
        <v>169</v>
      </c>
      <c r="C262" s="71">
        <v>0</v>
      </c>
      <c r="D262" s="62">
        <v>0</v>
      </c>
      <c r="E262" s="62">
        <v>0</v>
      </c>
      <c r="F262" s="27">
        <f t="shared" si="67"/>
        <v>0</v>
      </c>
      <c r="G262" s="62">
        <f t="shared" si="62"/>
        <v>0</v>
      </c>
      <c r="H262" s="72">
        <v>0</v>
      </c>
    </row>
    <row r="263" spans="1:8" ht="12">
      <c r="A263" s="47">
        <v>243605</v>
      </c>
      <c r="B263" s="64" t="s">
        <v>70</v>
      </c>
      <c r="C263" s="71">
        <v>6822</v>
      </c>
      <c r="D263" s="62">
        <v>28351</v>
      </c>
      <c r="E263" s="62">
        <f>85690-1583</f>
        <v>84107</v>
      </c>
      <c r="F263" s="27">
        <f t="shared" si="67"/>
        <v>62578</v>
      </c>
      <c r="G263" s="62">
        <f t="shared" si="62"/>
        <v>62578</v>
      </c>
      <c r="H263" s="72">
        <v>0</v>
      </c>
    </row>
    <row r="264" spans="1:8" ht="12">
      <c r="A264" s="47">
        <v>243607</v>
      </c>
      <c r="B264" s="64" t="s">
        <v>170</v>
      </c>
      <c r="C264" s="71">
        <v>0</v>
      </c>
      <c r="D264" s="62">
        <v>0</v>
      </c>
      <c r="E264" s="62">
        <v>0</v>
      </c>
      <c r="F264" s="27">
        <f t="shared" si="67"/>
        <v>0</v>
      </c>
      <c r="G264" s="62">
        <f t="shared" si="62"/>
        <v>0</v>
      </c>
      <c r="H264" s="72">
        <v>0</v>
      </c>
    </row>
    <row r="265" spans="1:8" ht="12">
      <c r="A265" s="47">
        <v>243608</v>
      </c>
      <c r="B265" s="64" t="s">
        <v>171</v>
      </c>
      <c r="C265" s="71">
        <v>769</v>
      </c>
      <c r="D265" s="62">
        <v>1077</v>
      </c>
      <c r="E265" s="62">
        <f>5172-3092</f>
        <v>2080</v>
      </c>
      <c r="F265" s="27">
        <f t="shared" si="67"/>
        <v>1772</v>
      </c>
      <c r="G265" s="62">
        <f t="shared" si="62"/>
        <v>1772</v>
      </c>
      <c r="H265" s="72">
        <v>0</v>
      </c>
    </row>
    <row r="266" spans="1:8" ht="12">
      <c r="A266" s="47">
        <v>243610</v>
      </c>
      <c r="B266" s="64" t="s">
        <v>172</v>
      </c>
      <c r="C266" s="71">
        <v>688</v>
      </c>
      <c r="D266" s="62">
        <v>688</v>
      </c>
      <c r="E266" s="62">
        <v>0</v>
      </c>
      <c r="F266" s="27">
        <f t="shared" si="67"/>
        <v>0</v>
      </c>
      <c r="G266" s="62">
        <f t="shared" si="62"/>
        <v>0</v>
      </c>
      <c r="H266" s="72">
        <v>0</v>
      </c>
    </row>
    <row r="267" spans="1:8" ht="12">
      <c r="A267" s="47">
        <v>243625</v>
      </c>
      <c r="B267" s="64" t="s">
        <v>173</v>
      </c>
      <c r="C267" s="71">
        <v>115610</v>
      </c>
      <c r="D267" s="62">
        <v>221640</v>
      </c>
      <c r="E267" s="62">
        <f>302152-5666</f>
        <v>296486</v>
      </c>
      <c r="F267" s="27">
        <f t="shared" si="67"/>
        <v>190456</v>
      </c>
      <c r="G267" s="62">
        <f t="shared" si="62"/>
        <v>190456</v>
      </c>
      <c r="H267" s="72">
        <v>0</v>
      </c>
    </row>
    <row r="268" spans="1:8" ht="12">
      <c r="A268" s="47">
        <v>243698</v>
      </c>
      <c r="B268" s="64" t="s">
        <v>174</v>
      </c>
      <c r="C268" s="71">
        <v>2446</v>
      </c>
      <c r="D268" s="62">
        <v>4626</v>
      </c>
      <c r="E268" s="62">
        <f>7786-1840</f>
        <v>5946</v>
      </c>
      <c r="F268" s="27">
        <f t="shared" si="67"/>
        <v>3766</v>
      </c>
      <c r="G268" s="62">
        <f t="shared" si="62"/>
        <v>3766</v>
      </c>
      <c r="H268" s="72">
        <v>0</v>
      </c>
    </row>
    <row r="269" spans="1:8" ht="12">
      <c r="A269" s="47">
        <v>243700</v>
      </c>
      <c r="B269" s="65" t="s">
        <v>175</v>
      </c>
      <c r="C269" s="69">
        <f aca="true" t="shared" si="68" ref="C269:H269">SUM(C270)</f>
        <v>17442</v>
      </c>
      <c r="D269" s="69">
        <f t="shared" si="68"/>
        <v>39558</v>
      </c>
      <c r="E269" s="69">
        <f t="shared" si="68"/>
        <v>61585</v>
      </c>
      <c r="F269" s="69">
        <f t="shared" si="68"/>
        <v>39469</v>
      </c>
      <c r="G269" s="69">
        <f t="shared" si="68"/>
        <v>39469</v>
      </c>
      <c r="H269" s="70">
        <f t="shared" si="68"/>
        <v>0</v>
      </c>
    </row>
    <row r="270" spans="1:8" ht="12">
      <c r="A270" s="47">
        <v>243701</v>
      </c>
      <c r="B270" s="64" t="s">
        <v>176</v>
      </c>
      <c r="C270" s="71">
        <v>17442</v>
      </c>
      <c r="D270" s="62">
        <v>39558</v>
      </c>
      <c r="E270" s="62">
        <f>62465-880</f>
        <v>61585</v>
      </c>
      <c r="F270" s="27">
        <f t="shared" si="67"/>
        <v>39469</v>
      </c>
      <c r="G270" s="62">
        <f t="shared" si="62"/>
        <v>39469</v>
      </c>
      <c r="H270" s="72">
        <v>0</v>
      </c>
    </row>
    <row r="271" spans="1:8" ht="12">
      <c r="A271" s="47">
        <v>244000</v>
      </c>
      <c r="B271" s="65" t="s">
        <v>177</v>
      </c>
      <c r="C271" s="69">
        <f aca="true" t="shared" si="69" ref="C271:H271">SUM(C272:C276)</f>
        <v>525009</v>
      </c>
      <c r="D271" s="69">
        <f t="shared" si="69"/>
        <v>7140723</v>
      </c>
      <c r="E271" s="69">
        <f t="shared" si="69"/>
        <v>7645447</v>
      </c>
      <c r="F271" s="69">
        <f t="shared" si="69"/>
        <v>1029733</v>
      </c>
      <c r="G271" s="69">
        <f t="shared" si="69"/>
        <v>1029733</v>
      </c>
      <c r="H271" s="70">
        <f t="shared" si="69"/>
        <v>0</v>
      </c>
    </row>
    <row r="272" spans="1:8" ht="12">
      <c r="A272" s="47">
        <v>244003</v>
      </c>
      <c r="B272" s="64" t="s">
        <v>178</v>
      </c>
      <c r="C272" s="71">
        <v>-8547</v>
      </c>
      <c r="D272" s="62">
        <v>0</v>
      </c>
      <c r="E272" s="62">
        <v>8547</v>
      </c>
      <c r="F272" s="27">
        <f>C272-D272+E272</f>
        <v>0</v>
      </c>
      <c r="G272" s="62">
        <f t="shared" si="62"/>
        <v>0</v>
      </c>
      <c r="H272" s="72">
        <v>0</v>
      </c>
    </row>
    <row r="273" spans="1:8" ht="12">
      <c r="A273" s="47">
        <v>244005</v>
      </c>
      <c r="B273" s="64" t="s">
        <v>179</v>
      </c>
      <c r="C273" s="71">
        <v>0</v>
      </c>
      <c r="D273" s="62">
        <v>46020</v>
      </c>
      <c r="E273" s="62">
        <v>46020</v>
      </c>
      <c r="F273" s="27">
        <f>+C273+D273-E273</f>
        <v>0</v>
      </c>
      <c r="G273" s="62">
        <f t="shared" si="62"/>
        <v>0</v>
      </c>
      <c r="H273" s="72">
        <v>0</v>
      </c>
    </row>
    <row r="274" spans="1:8" ht="12">
      <c r="A274" s="47">
        <v>244011</v>
      </c>
      <c r="B274" s="64" t="s">
        <v>180</v>
      </c>
      <c r="C274" s="71">
        <v>533556</v>
      </c>
      <c r="D274" s="62">
        <v>7084559</v>
      </c>
      <c r="E274" s="62">
        <v>7580736</v>
      </c>
      <c r="F274" s="27">
        <f>C274-D274+E274</f>
        <v>1029733</v>
      </c>
      <c r="G274" s="62">
        <f t="shared" si="62"/>
        <v>1029733</v>
      </c>
      <c r="H274" s="72">
        <v>0</v>
      </c>
    </row>
    <row r="275" spans="1:8" ht="12">
      <c r="A275" s="47">
        <v>244016</v>
      </c>
      <c r="B275" s="64" t="s">
        <v>181</v>
      </c>
      <c r="C275" s="71">
        <v>0</v>
      </c>
      <c r="D275" s="62">
        <v>10144</v>
      </c>
      <c r="E275" s="62">
        <v>10144</v>
      </c>
      <c r="F275" s="27">
        <f>+C275+D275-E275</f>
        <v>0</v>
      </c>
      <c r="G275" s="62">
        <f t="shared" si="62"/>
        <v>0</v>
      </c>
      <c r="H275" s="72">
        <v>0</v>
      </c>
    </row>
    <row r="276" spans="1:8" ht="12">
      <c r="A276" s="47">
        <v>244095</v>
      </c>
      <c r="B276" s="64" t="s">
        <v>182</v>
      </c>
      <c r="C276" s="71">
        <v>0</v>
      </c>
      <c r="D276" s="62">
        <v>0</v>
      </c>
      <c r="E276" s="62">
        <v>0</v>
      </c>
      <c r="F276" s="27">
        <f>+C276+D276-E276</f>
        <v>0</v>
      </c>
      <c r="G276" s="62">
        <f t="shared" si="62"/>
        <v>0</v>
      </c>
      <c r="H276" s="72">
        <v>0</v>
      </c>
    </row>
    <row r="277" spans="1:8" ht="12">
      <c r="A277" s="47">
        <v>245500</v>
      </c>
      <c r="B277" s="65" t="s">
        <v>183</v>
      </c>
      <c r="C277" s="60">
        <f aca="true" t="shared" si="70" ref="C277:H277">SUM(C278:C279)</f>
        <v>0</v>
      </c>
      <c r="D277" s="60">
        <f t="shared" si="70"/>
        <v>0</v>
      </c>
      <c r="E277" s="60">
        <f t="shared" si="70"/>
        <v>0</v>
      </c>
      <c r="F277" s="60">
        <f t="shared" si="70"/>
        <v>0</v>
      </c>
      <c r="G277" s="60">
        <f t="shared" si="70"/>
        <v>0</v>
      </c>
      <c r="H277" s="61">
        <f t="shared" si="70"/>
        <v>0</v>
      </c>
    </row>
    <row r="278" spans="1:8" ht="12">
      <c r="A278" s="47">
        <v>245503</v>
      </c>
      <c r="B278" s="66" t="s">
        <v>184</v>
      </c>
      <c r="C278" s="71">
        <v>0</v>
      </c>
      <c r="D278" s="62">
        <v>0</v>
      </c>
      <c r="E278" s="62">
        <v>0</v>
      </c>
      <c r="F278" s="27">
        <f>+C278+D278-E278</f>
        <v>0</v>
      </c>
      <c r="G278" s="62">
        <f t="shared" si="62"/>
        <v>0</v>
      </c>
      <c r="H278" s="72">
        <v>0</v>
      </c>
    </row>
    <row r="279" spans="1:8" ht="12">
      <c r="A279" s="47">
        <v>245506</v>
      </c>
      <c r="B279" s="66" t="s">
        <v>185</v>
      </c>
      <c r="C279" s="71">
        <v>0</v>
      </c>
      <c r="D279" s="62">
        <v>0</v>
      </c>
      <c r="E279" s="62">
        <f>62788-62788</f>
        <v>0</v>
      </c>
      <c r="F279" s="27">
        <f>C279-D279+E279</f>
        <v>0</v>
      </c>
      <c r="G279" s="62">
        <f t="shared" si="62"/>
        <v>0</v>
      </c>
      <c r="H279" s="72">
        <v>0</v>
      </c>
    </row>
    <row r="280" spans="1:8" ht="12">
      <c r="A280" s="47">
        <v>246000</v>
      </c>
      <c r="B280" s="65" t="s">
        <v>186</v>
      </c>
      <c r="C280" s="60">
        <f aca="true" t="shared" si="71" ref="C280:H280">SUM(C281)</f>
        <v>0</v>
      </c>
      <c r="D280" s="60">
        <f t="shared" si="71"/>
        <v>574833</v>
      </c>
      <c r="E280" s="60">
        <f t="shared" si="71"/>
        <v>574833</v>
      </c>
      <c r="F280" s="60">
        <f t="shared" si="71"/>
        <v>0</v>
      </c>
      <c r="G280" s="60">
        <f t="shared" si="71"/>
        <v>0</v>
      </c>
      <c r="H280" s="61">
        <f t="shared" si="71"/>
        <v>0</v>
      </c>
    </row>
    <row r="281" spans="1:8" ht="12">
      <c r="A281" s="47">
        <v>246002</v>
      </c>
      <c r="B281" s="66" t="s">
        <v>167</v>
      </c>
      <c r="C281" s="71">
        <v>0</v>
      </c>
      <c r="D281" s="62">
        <v>574833</v>
      </c>
      <c r="E281" s="62">
        <v>574833</v>
      </c>
      <c r="F281" s="27">
        <f>+C281+D281-E281</f>
        <v>0</v>
      </c>
      <c r="G281" s="62">
        <f t="shared" si="62"/>
        <v>0</v>
      </c>
      <c r="H281" s="72">
        <v>0</v>
      </c>
    </row>
    <row r="282" spans="1:8" ht="12">
      <c r="A282" s="47">
        <v>250000</v>
      </c>
      <c r="B282" s="67" t="s">
        <v>187</v>
      </c>
      <c r="C282" s="69">
        <f aca="true" t="shared" si="72" ref="C282:H282">C283</f>
        <v>479146</v>
      </c>
      <c r="D282" s="69">
        <f t="shared" si="72"/>
        <v>3191209</v>
      </c>
      <c r="E282" s="69">
        <f t="shared" si="72"/>
        <v>3061663</v>
      </c>
      <c r="F282" s="69">
        <f t="shared" si="72"/>
        <v>349600</v>
      </c>
      <c r="G282" s="69">
        <f t="shared" si="72"/>
        <v>349600</v>
      </c>
      <c r="H282" s="70">
        <f t="shared" si="72"/>
        <v>0</v>
      </c>
    </row>
    <row r="283" spans="1:8" ht="12">
      <c r="A283" s="47">
        <v>250500</v>
      </c>
      <c r="B283" s="67" t="s">
        <v>188</v>
      </c>
      <c r="C283" s="69">
        <f aca="true" t="shared" si="73" ref="C283:H283">SUM(C284:C290)</f>
        <v>479146</v>
      </c>
      <c r="D283" s="69">
        <f t="shared" si="73"/>
        <v>3191209</v>
      </c>
      <c r="E283" s="69">
        <f t="shared" si="73"/>
        <v>3061663</v>
      </c>
      <c r="F283" s="69">
        <f t="shared" si="73"/>
        <v>349600</v>
      </c>
      <c r="G283" s="69">
        <f t="shared" si="73"/>
        <v>349600</v>
      </c>
      <c r="H283" s="70">
        <f t="shared" si="73"/>
        <v>0</v>
      </c>
    </row>
    <row r="284" spans="1:8" ht="12">
      <c r="A284" s="47">
        <v>250501</v>
      </c>
      <c r="B284" s="66" t="s">
        <v>189</v>
      </c>
      <c r="C284" s="71">
        <v>9773</v>
      </c>
      <c r="D284" s="62">
        <v>2739472</v>
      </c>
      <c r="E284" s="62">
        <v>2763235</v>
      </c>
      <c r="F284" s="27">
        <f aca="true" t="shared" si="74" ref="F284:F290">C284-D284+E284</f>
        <v>33536</v>
      </c>
      <c r="G284" s="62">
        <f aca="true" t="shared" si="75" ref="G284:G290">+F284</f>
        <v>33536</v>
      </c>
      <c r="H284" s="72">
        <v>0</v>
      </c>
    </row>
    <row r="285" spans="1:8" ht="12">
      <c r="A285" s="47">
        <v>250502</v>
      </c>
      <c r="B285" s="66" t="s">
        <v>190</v>
      </c>
      <c r="C285" s="71">
        <v>633</v>
      </c>
      <c r="D285" s="62">
        <v>193163</v>
      </c>
      <c r="E285" s="62">
        <v>209558</v>
      </c>
      <c r="F285" s="27">
        <f t="shared" si="74"/>
        <v>17028</v>
      </c>
      <c r="G285" s="62">
        <f t="shared" si="75"/>
        <v>17028</v>
      </c>
      <c r="H285" s="72">
        <v>0</v>
      </c>
    </row>
    <row r="286" spans="1:8" ht="12">
      <c r="A286" s="47">
        <v>250504</v>
      </c>
      <c r="B286" s="66" t="s">
        <v>191</v>
      </c>
      <c r="C286" s="71">
        <v>254779</v>
      </c>
      <c r="D286" s="62">
        <v>112447</v>
      </c>
      <c r="E286" s="62">
        <f>2404-2404</f>
        <v>0</v>
      </c>
      <c r="F286" s="27">
        <f t="shared" si="74"/>
        <v>142332</v>
      </c>
      <c r="G286" s="62">
        <f t="shared" si="75"/>
        <v>142332</v>
      </c>
      <c r="H286" s="72">
        <v>0</v>
      </c>
    </row>
    <row r="287" spans="1:8" ht="12">
      <c r="A287" s="47">
        <v>250505</v>
      </c>
      <c r="B287" s="66" t="s">
        <v>192</v>
      </c>
      <c r="C287" s="71">
        <v>64274</v>
      </c>
      <c r="D287" s="62">
        <v>73121</v>
      </c>
      <c r="E287" s="62">
        <f>10669-1822</f>
        <v>8847</v>
      </c>
      <c r="F287" s="27">
        <f t="shared" si="74"/>
        <v>0</v>
      </c>
      <c r="G287" s="62">
        <f t="shared" si="75"/>
        <v>0</v>
      </c>
      <c r="H287" s="72">
        <v>0</v>
      </c>
    </row>
    <row r="288" spans="1:8" ht="12">
      <c r="A288" s="47">
        <v>250506</v>
      </c>
      <c r="B288" s="66" t="s">
        <v>193</v>
      </c>
      <c r="C288" s="71">
        <v>145332</v>
      </c>
      <c r="D288" s="62">
        <v>5803</v>
      </c>
      <c r="E288" s="62">
        <v>0</v>
      </c>
      <c r="F288" s="27">
        <f t="shared" si="74"/>
        <v>139529</v>
      </c>
      <c r="G288" s="62">
        <f t="shared" si="75"/>
        <v>139529</v>
      </c>
      <c r="H288" s="72">
        <v>0</v>
      </c>
    </row>
    <row r="289" spans="1:8" ht="12">
      <c r="A289" s="47">
        <v>250507</v>
      </c>
      <c r="B289" s="66" t="s">
        <v>194</v>
      </c>
      <c r="C289" s="71">
        <v>543</v>
      </c>
      <c r="D289" s="62">
        <v>2339</v>
      </c>
      <c r="E289" s="62">
        <v>6530</v>
      </c>
      <c r="F289" s="27">
        <f t="shared" si="74"/>
        <v>4734</v>
      </c>
      <c r="G289" s="62">
        <f t="shared" si="75"/>
        <v>4734</v>
      </c>
      <c r="H289" s="72">
        <v>0</v>
      </c>
    </row>
    <row r="290" spans="1:8" ht="12">
      <c r="A290" s="47">
        <v>250512</v>
      </c>
      <c r="B290" s="66" t="s">
        <v>195</v>
      </c>
      <c r="C290" s="71">
        <v>3812</v>
      </c>
      <c r="D290" s="62">
        <v>64864</v>
      </c>
      <c r="E290" s="62">
        <v>73493</v>
      </c>
      <c r="F290" s="27">
        <f t="shared" si="74"/>
        <v>12441</v>
      </c>
      <c r="G290" s="62">
        <f t="shared" si="75"/>
        <v>12441</v>
      </c>
      <c r="H290" s="72">
        <v>0</v>
      </c>
    </row>
    <row r="291" spans="1:8" ht="12">
      <c r="A291" s="47">
        <v>270000</v>
      </c>
      <c r="B291" s="58" t="s">
        <v>196</v>
      </c>
      <c r="C291" s="60">
        <f aca="true" t="shared" si="76" ref="C291:H291">C292+C294</f>
        <v>1657155633</v>
      </c>
      <c r="D291" s="60">
        <f t="shared" si="76"/>
        <v>3313656840</v>
      </c>
      <c r="E291" s="60">
        <f t="shared" si="76"/>
        <v>1657319849</v>
      </c>
      <c r="F291" s="60">
        <f t="shared" si="76"/>
        <v>818642</v>
      </c>
      <c r="G291" s="60">
        <f t="shared" si="76"/>
        <v>818642</v>
      </c>
      <c r="H291" s="61">
        <f t="shared" si="76"/>
        <v>0</v>
      </c>
    </row>
    <row r="292" spans="1:8" ht="12">
      <c r="A292" s="47">
        <v>271000</v>
      </c>
      <c r="B292" s="58" t="s">
        <v>197</v>
      </c>
      <c r="C292" s="60">
        <f aca="true" t="shared" si="77" ref="C292:H292">SUM(C293)</f>
        <v>0</v>
      </c>
      <c r="D292" s="60">
        <f t="shared" si="77"/>
        <v>1656745636</v>
      </c>
      <c r="E292" s="60">
        <f t="shared" si="77"/>
        <v>1656745636</v>
      </c>
      <c r="F292" s="60">
        <f t="shared" si="77"/>
        <v>0</v>
      </c>
      <c r="G292" s="60">
        <f t="shared" si="77"/>
        <v>0</v>
      </c>
      <c r="H292" s="61">
        <f t="shared" si="77"/>
        <v>0</v>
      </c>
    </row>
    <row r="293" spans="1:8" ht="12">
      <c r="A293" s="47">
        <v>271005</v>
      </c>
      <c r="B293" s="59" t="s">
        <v>198</v>
      </c>
      <c r="C293" s="62">
        <v>0</v>
      </c>
      <c r="D293" s="62">
        <v>1656745636</v>
      </c>
      <c r="E293" s="62">
        <v>1656745636</v>
      </c>
      <c r="F293" s="27">
        <f>+C293+D293-E293</f>
        <v>0</v>
      </c>
      <c r="G293" s="62">
        <f aca="true" t="shared" si="78" ref="G293:G301">+F293</f>
        <v>0</v>
      </c>
      <c r="H293" s="63">
        <v>0</v>
      </c>
    </row>
    <row r="294" spans="1:8" ht="12">
      <c r="A294" s="47">
        <v>271500</v>
      </c>
      <c r="B294" s="58" t="s">
        <v>199</v>
      </c>
      <c r="C294" s="60">
        <f aca="true" t="shared" si="79" ref="C294:H294">SUM(C295:C301)</f>
        <v>1657155633</v>
      </c>
      <c r="D294" s="60">
        <f t="shared" si="79"/>
        <v>1656911204</v>
      </c>
      <c r="E294" s="60">
        <f t="shared" si="79"/>
        <v>574213</v>
      </c>
      <c r="F294" s="60">
        <f t="shared" si="79"/>
        <v>818642</v>
      </c>
      <c r="G294" s="60">
        <f t="shared" si="79"/>
        <v>818642</v>
      </c>
      <c r="H294" s="61">
        <f t="shared" si="79"/>
        <v>0</v>
      </c>
    </row>
    <row r="295" spans="1:8" ht="12">
      <c r="A295" s="47">
        <v>271501</v>
      </c>
      <c r="B295" s="59" t="s">
        <v>190</v>
      </c>
      <c r="C295" s="62">
        <v>0</v>
      </c>
      <c r="D295" s="62">
        <v>76698</v>
      </c>
      <c r="E295" s="62">
        <v>76698</v>
      </c>
      <c r="F295" s="27">
        <f>+C295+D295-E295</f>
        <v>0</v>
      </c>
      <c r="G295" s="62">
        <f t="shared" si="78"/>
        <v>0</v>
      </c>
      <c r="H295" s="63">
        <v>0</v>
      </c>
    </row>
    <row r="296" spans="1:8" ht="12">
      <c r="A296" s="47">
        <v>271503</v>
      </c>
      <c r="B296" s="59" t="s">
        <v>191</v>
      </c>
      <c r="C296" s="62">
        <v>0</v>
      </c>
      <c r="D296" s="62">
        <v>0</v>
      </c>
      <c r="E296" s="62">
        <f>589-589</f>
        <v>0</v>
      </c>
      <c r="F296" s="27">
        <f aca="true" t="shared" si="80" ref="F296:F301">C296-D296+E296</f>
        <v>0</v>
      </c>
      <c r="G296" s="62">
        <f t="shared" si="78"/>
        <v>0</v>
      </c>
      <c r="H296" s="63">
        <v>0</v>
      </c>
    </row>
    <row r="297" spans="1:8" ht="12">
      <c r="A297" s="47">
        <v>271504</v>
      </c>
      <c r="B297" s="59" t="s">
        <v>193</v>
      </c>
      <c r="C297" s="62">
        <v>79899</v>
      </c>
      <c r="D297" s="62">
        <v>0</v>
      </c>
      <c r="E297" s="62">
        <v>84887</v>
      </c>
      <c r="F297" s="27">
        <f t="shared" si="80"/>
        <v>164786</v>
      </c>
      <c r="G297" s="62">
        <f t="shared" si="78"/>
        <v>164786</v>
      </c>
      <c r="H297" s="55">
        <v>0</v>
      </c>
    </row>
    <row r="298" spans="1:8" ht="12">
      <c r="A298" s="47">
        <v>271505</v>
      </c>
      <c r="B298" s="59" t="s">
        <v>200</v>
      </c>
      <c r="C298" s="62">
        <v>1656745636</v>
      </c>
      <c r="D298" s="62">
        <v>1656745636</v>
      </c>
      <c r="E298" s="62">
        <v>0</v>
      </c>
      <c r="F298" s="27">
        <f t="shared" si="80"/>
        <v>0</v>
      </c>
      <c r="G298" s="62">
        <f t="shared" si="78"/>
        <v>0</v>
      </c>
      <c r="H298" s="57">
        <v>0</v>
      </c>
    </row>
    <row r="299" spans="1:8" ht="12">
      <c r="A299" s="47">
        <v>271506</v>
      </c>
      <c r="B299" s="59" t="s">
        <v>192</v>
      </c>
      <c r="C299" s="62">
        <v>83156</v>
      </c>
      <c r="D299" s="62">
        <v>8847</v>
      </c>
      <c r="E299" s="62">
        <f>94332-5984</f>
        <v>88348</v>
      </c>
      <c r="F299" s="27">
        <f t="shared" si="80"/>
        <v>162657</v>
      </c>
      <c r="G299" s="62">
        <f t="shared" si="78"/>
        <v>162657</v>
      </c>
      <c r="H299" s="57">
        <v>0</v>
      </c>
    </row>
    <row r="300" spans="1:8" ht="12">
      <c r="A300" s="47">
        <v>271507</v>
      </c>
      <c r="B300" s="59" t="s">
        <v>195</v>
      </c>
      <c r="C300" s="62">
        <v>88268</v>
      </c>
      <c r="D300" s="62">
        <v>73493</v>
      </c>
      <c r="E300" s="62">
        <v>154710</v>
      </c>
      <c r="F300" s="27">
        <f t="shared" si="80"/>
        <v>169485</v>
      </c>
      <c r="G300" s="62">
        <f t="shared" si="78"/>
        <v>169485</v>
      </c>
      <c r="H300" s="57">
        <v>0</v>
      </c>
    </row>
    <row r="301" spans="1:8" ht="12">
      <c r="A301" s="47">
        <v>271509</v>
      </c>
      <c r="B301" s="59" t="s">
        <v>194</v>
      </c>
      <c r="C301" s="62">
        <v>158674</v>
      </c>
      <c r="D301" s="62">
        <v>6530</v>
      </c>
      <c r="E301" s="62">
        <f>186096-16526</f>
        <v>169570</v>
      </c>
      <c r="F301" s="27">
        <f t="shared" si="80"/>
        <v>321714</v>
      </c>
      <c r="G301" s="62">
        <f t="shared" si="78"/>
        <v>321714</v>
      </c>
      <c r="H301" s="57">
        <v>0</v>
      </c>
    </row>
    <row r="302" spans="1:8" ht="12">
      <c r="A302" s="47">
        <v>290000</v>
      </c>
      <c r="B302" s="58" t="s">
        <v>201</v>
      </c>
      <c r="C302" s="69">
        <f aca="true" t="shared" si="81" ref="C302:H302">C303+C307+C310</f>
        <v>0</v>
      </c>
      <c r="D302" s="69">
        <f t="shared" si="81"/>
        <v>0</v>
      </c>
      <c r="E302" s="69">
        <f t="shared" si="81"/>
        <v>0</v>
      </c>
      <c r="F302" s="69">
        <f t="shared" si="81"/>
        <v>0</v>
      </c>
      <c r="G302" s="69">
        <f t="shared" si="81"/>
        <v>0</v>
      </c>
      <c r="H302" s="70">
        <f t="shared" si="81"/>
        <v>0</v>
      </c>
    </row>
    <row r="303" spans="1:8" ht="12">
      <c r="A303" s="47">
        <v>290500</v>
      </c>
      <c r="B303" s="58" t="s">
        <v>202</v>
      </c>
      <c r="C303" s="69">
        <f aca="true" t="shared" si="82" ref="C303:H303">SUM(C304:C306)</f>
        <v>0</v>
      </c>
      <c r="D303" s="69">
        <f t="shared" si="82"/>
        <v>0</v>
      </c>
      <c r="E303" s="69">
        <f t="shared" si="82"/>
        <v>0</v>
      </c>
      <c r="F303" s="69">
        <f t="shared" si="82"/>
        <v>0</v>
      </c>
      <c r="G303" s="69">
        <f t="shared" si="82"/>
        <v>0</v>
      </c>
      <c r="H303" s="70">
        <f t="shared" si="82"/>
        <v>0</v>
      </c>
    </row>
    <row r="304" spans="1:8" ht="12">
      <c r="A304" s="47">
        <v>290502</v>
      </c>
      <c r="B304" s="59" t="s">
        <v>203</v>
      </c>
      <c r="C304" s="71">
        <v>0</v>
      </c>
      <c r="D304" s="62">
        <v>0</v>
      </c>
      <c r="E304" s="62">
        <f>7300-7300</f>
        <v>0</v>
      </c>
      <c r="F304" s="27">
        <f>C304-D304+E304</f>
        <v>0</v>
      </c>
      <c r="G304" s="62">
        <v>0</v>
      </c>
      <c r="H304" s="72">
        <v>0</v>
      </c>
    </row>
    <row r="305" spans="1:8" ht="12">
      <c r="A305" s="47">
        <v>290503</v>
      </c>
      <c r="B305" s="59" t="s">
        <v>204</v>
      </c>
      <c r="C305" s="71">
        <v>0</v>
      </c>
      <c r="D305" s="62">
        <v>0</v>
      </c>
      <c r="E305" s="62">
        <v>0</v>
      </c>
      <c r="F305" s="27">
        <f>+C305+D305-E305</f>
        <v>0</v>
      </c>
      <c r="G305" s="62">
        <v>0</v>
      </c>
      <c r="H305" s="72">
        <v>0</v>
      </c>
    </row>
    <row r="306" spans="1:8" ht="12">
      <c r="A306" s="47">
        <v>290590</v>
      </c>
      <c r="B306" s="59" t="s">
        <v>205</v>
      </c>
      <c r="C306" s="71">
        <v>0</v>
      </c>
      <c r="D306" s="62">
        <v>0</v>
      </c>
      <c r="E306" s="62">
        <v>0</v>
      </c>
      <c r="F306" s="27">
        <f>+C306+D306-E306</f>
        <v>0</v>
      </c>
      <c r="G306" s="62">
        <v>0</v>
      </c>
      <c r="H306" s="72">
        <v>0</v>
      </c>
    </row>
    <row r="307" spans="1:8" ht="12">
      <c r="A307" s="47">
        <v>291000</v>
      </c>
      <c r="B307" s="58" t="s">
        <v>206</v>
      </c>
      <c r="C307" s="69">
        <f aca="true" t="shared" si="83" ref="C307:H307">SUM(C308:C309)</f>
        <v>0</v>
      </c>
      <c r="D307" s="69">
        <f t="shared" si="83"/>
        <v>0</v>
      </c>
      <c r="E307" s="69">
        <f t="shared" si="83"/>
        <v>0</v>
      </c>
      <c r="F307" s="69">
        <f t="shared" si="83"/>
        <v>0</v>
      </c>
      <c r="G307" s="69">
        <f t="shared" si="83"/>
        <v>0</v>
      </c>
      <c r="H307" s="70">
        <f t="shared" si="83"/>
        <v>0</v>
      </c>
    </row>
    <row r="308" spans="1:8" ht="12">
      <c r="A308" s="47">
        <v>291007</v>
      </c>
      <c r="B308" s="59" t="s">
        <v>207</v>
      </c>
      <c r="C308" s="71">
        <v>0</v>
      </c>
      <c r="D308" s="62">
        <v>0</v>
      </c>
      <c r="E308" s="62">
        <v>0</v>
      </c>
      <c r="F308" s="27">
        <f>+C308+D308-E308</f>
        <v>0</v>
      </c>
      <c r="G308" s="62">
        <v>0</v>
      </c>
      <c r="H308" s="70">
        <v>0</v>
      </c>
    </row>
    <row r="309" spans="1:8" ht="12">
      <c r="A309" s="47">
        <v>291090</v>
      </c>
      <c r="B309" s="59" t="s">
        <v>208</v>
      </c>
      <c r="C309" s="71">
        <v>0</v>
      </c>
      <c r="D309" s="62">
        <v>0</v>
      </c>
      <c r="E309" s="62">
        <v>0</v>
      </c>
      <c r="F309" s="27">
        <f>+C309+D309-E309</f>
        <v>0</v>
      </c>
      <c r="G309" s="62">
        <v>0</v>
      </c>
      <c r="H309" s="70">
        <v>0</v>
      </c>
    </row>
    <row r="310" spans="1:8" ht="12">
      <c r="A310" s="47">
        <v>299600</v>
      </c>
      <c r="B310" s="58" t="s">
        <v>209</v>
      </c>
      <c r="C310" s="69">
        <f aca="true" t="shared" si="84" ref="C310:H310">SUM(C311)</f>
        <v>0</v>
      </c>
      <c r="D310" s="69">
        <f t="shared" si="84"/>
        <v>0</v>
      </c>
      <c r="E310" s="69">
        <f t="shared" si="84"/>
        <v>0</v>
      </c>
      <c r="F310" s="69">
        <f t="shared" si="84"/>
        <v>0</v>
      </c>
      <c r="G310" s="69">
        <f t="shared" si="84"/>
        <v>0</v>
      </c>
      <c r="H310" s="70">
        <f t="shared" si="84"/>
        <v>0</v>
      </c>
    </row>
    <row r="311" spans="1:8" ht="12">
      <c r="A311" s="47">
        <v>299601</v>
      </c>
      <c r="B311" s="59" t="s">
        <v>210</v>
      </c>
      <c r="C311" s="71">
        <v>0</v>
      </c>
      <c r="D311" s="62">
        <v>0</v>
      </c>
      <c r="E311" s="62">
        <f>7585-7585</f>
        <v>0</v>
      </c>
      <c r="F311" s="27">
        <f>C311-D311+E311</f>
        <v>0</v>
      </c>
      <c r="G311" s="62">
        <v>0</v>
      </c>
      <c r="H311" s="72">
        <v>0</v>
      </c>
    </row>
    <row r="312" spans="1:8" ht="12">
      <c r="A312" s="47">
        <v>300000</v>
      </c>
      <c r="B312" s="48" t="s">
        <v>211</v>
      </c>
      <c r="C312" s="69">
        <f aca="true" t="shared" si="85" ref="C312:H312">C313</f>
        <v>-31504574</v>
      </c>
      <c r="D312" s="69">
        <f t="shared" si="85"/>
        <v>204000</v>
      </c>
      <c r="E312" s="69">
        <f t="shared" si="85"/>
        <v>225792</v>
      </c>
      <c r="F312" s="69">
        <f t="shared" si="85"/>
        <v>-31482782</v>
      </c>
      <c r="G312" s="69">
        <f t="shared" si="85"/>
        <v>0</v>
      </c>
      <c r="H312" s="70">
        <f t="shared" si="85"/>
        <v>-31482782</v>
      </c>
    </row>
    <row r="313" spans="1:8" ht="12">
      <c r="A313" s="47">
        <v>310000</v>
      </c>
      <c r="B313" s="48" t="s">
        <v>212</v>
      </c>
      <c r="C313" s="69">
        <f aca="true" t="shared" si="86" ref="C313:H313">C314+C316+C320+C328+C331+C334+C338+C341</f>
        <v>-31504574</v>
      </c>
      <c r="D313" s="69">
        <f t="shared" si="86"/>
        <v>204000</v>
      </c>
      <c r="E313" s="69">
        <f t="shared" si="86"/>
        <v>225792</v>
      </c>
      <c r="F313" s="69">
        <f t="shared" si="86"/>
        <v>-31482782</v>
      </c>
      <c r="G313" s="69">
        <f t="shared" si="86"/>
        <v>0</v>
      </c>
      <c r="H313" s="70">
        <f t="shared" si="86"/>
        <v>-31482782</v>
      </c>
    </row>
    <row r="314" spans="1:8" ht="12">
      <c r="A314" s="47">
        <v>310500</v>
      </c>
      <c r="B314" s="48" t="s">
        <v>213</v>
      </c>
      <c r="C314" s="73">
        <f aca="true" t="shared" si="87" ref="C314:H314">SUM(C315)</f>
        <v>-62851739</v>
      </c>
      <c r="D314" s="73">
        <f t="shared" si="87"/>
        <v>0</v>
      </c>
      <c r="E314" s="73">
        <f t="shared" si="87"/>
        <v>0</v>
      </c>
      <c r="F314" s="73">
        <f t="shared" si="87"/>
        <v>-62851739</v>
      </c>
      <c r="G314" s="73">
        <f t="shared" si="87"/>
        <v>0</v>
      </c>
      <c r="H314" s="74">
        <f t="shared" si="87"/>
        <v>-62851739</v>
      </c>
    </row>
    <row r="315" spans="1:8" ht="12">
      <c r="A315" s="47">
        <v>310501</v>
      </c>
      <c r="B315" s="75" t="s">
        <v>214</v>
      </c>
      <c r="C315" s="76">
        <v>-62851739</v>
      </c>
      <c r="D315" s="62">
        <v>0</v>
      </c>
      <c r="E315" s="62">
        <f>4014146-4014146</f>
        <v>0</v>
      </c>
      <c r="F315" s="27">
        <f>C315-D315+E315</f>
        <v>-62851739</v>
      </c>
      <c r="G315" s="62">
        <v>0</v>
      </c>
      <c r="H315" s="77">
        <f>+F315</f>
        <v>-62851739</v>
      </c>
    </row>
    <row r="316" spans="1:8" ht="12">
      <c r="A316" s="47">
        <v>311000</v>
      </c>
      <c r="B316" s="48" t="s">
        <v>215</v>
      </c>
      <c r="C316" s="60">
        <f aca="true" t="shared" si="88" ref="C316:H316">SUM(C317:C319)</f>
        <v>0</v>
      </c>
      <c r="D316" s="60">
        <f t="shared" si="88"/>
        <v>0</v>
      </c>
      <c r="E316" s="60">
        <f t="shared" si="88"/>
        <v>0</v>
      </c>
      <c r="F316" s="60">
        <f t="shared" si="88"/>
        <v>0</v>
      </c>
      <c r="G316" s="60">
        <f t="shared" si="88"/>
        <v>0</v>
      </c>
      <c r="H316" s="61">
        <f t="shared" si="88"/>
        <v>0</v>
      </c>
    </row>
    <row r="317" spans="1:8" ht="12">
      <c r="A317" s="47">
        <v>311001</v>
      </c>
      <c r="B317" s="51" t="s">
        <v>216</v>
      </c>
      <c r="C317" s="62">
        <v>0</v>
      </c>
      <c r="D317" s="62">
        <v>0</v>
      </c>
      <c r="E317" s="62">
        <v>0</v>
      </c>
      <c r="F317" s="27">
        <f>+C317+D317-E317</f>
        <v>0</v>
      </c>
      <c r="G317" s="62">
        <v>0</v>
      </c>
      <c r="H317" s="77">
        <f aca="true" t="shared" si="89" ref="H317:H346">+F317</f>
        <v>0</v>
      </c>
    </row>
    <row r="318" spans="1:8" ht="12">
      <c r="A318" s="47">
        <v>311002</v>
      </c>
      <c r="B318" s="51" t="s">
        <v>217</v>
      </c>
      <c r="C318" s="62">
        <v>0</v>
      </c>
      <c r="D318" s="62">
        <v>0</v>
      </c>
      <c r="E318" s="62">
        <v>0</v>
      </c>
      <c r="F318" s="27">
        <f>+C318+D318-E318</f>
        <v>0</v>
      </c>
      <c r="G318" s="62">
        <v>0</v>
      </c>
      <c r="H318" s="77">
        <f t="shared" si="89"/>
        <v>0</v>
      </c>
    </row>
    <row r="319" spans="1:8" ht="12">
      <c r="A319" s="47">
        <v>311004</v>
      </c>
      <c r="B319" s="51" t="s">
        <v>218</v>
      </c>
      <c r="C319" s="62">
        <v>0</v>
      </c>
      <c r="D319" s="62">
        <v>0</v>
      </c>
      <c r="E319" s="62">
        <v>0</v>
      </c>
      <c r="F319" s="27">
        <f>+C319+D319-E319</f>
        <v>0</v>
      </c>
      <c r="G319" s="62">
        <v>0</v>
      </c>
      <c r="H319" s="77">
        <f t="shared" si="89"/>
        <v>0</v>
      </c>
    </row>
    <row r="320" spans="1:8" ht="12">
      <c r="A320" s="47">
        <v>311500</v>
      </c>
      <c r="B320" s="48" t="s">
        <v>219</v>
      </c>
      <c r="C320" s="60">
        <f aca="true" t="shared" si="90" ref="C320:H320">SUM(C321:C327)</f>
        <v>3369681</v>
      </c>
      <c r="D320" s="60">
        <f t="shared" si="90"/>
        <v>0</v>
      </c>
      <c r="E320" s="60">
        <f t="shared" si="90"/>
        <v>0</v>
      </c>
      <c r="F320" s="60">
        <f t="shared" si="90"/>
        <v>3369681</v>
      </c>
      <c r="G320" s="60">
        <f t="shared" si="90"/>
        <v>0</v>
      </c>
      <c r="H320" s="61">
        <f t="shared" si="90"/>
        <v>3369681</v>
      </c>
    </row>
    <row r="321" spans="1:8" ht="12">
      <c r="A321" s="47">
        <v>311502</v>
      </c>
      <c r="B321" s="51" t="s">
        <v>220</v>
      </c>
      <c r="C321" s="62">
        <v>0</v>
      </c>
      <c r="D321" s="62">
        <v>0</v>
      </c>
      <c r="E321" s="62">
        <v>0</v>
      </c>
      <c r="F321" s="27">
        <f>+C321+D321-E321</f>
        <v>0</v>
      </c>
      <c r="G321" s="62">
        <v>0</v>
      </c>
      <c r="H321" s="77">
        <f t="shared" si="89"/>
        <v>0</v>
      </c>
    </row>
    <row r="322" spans="1:8" ht="12">
      <c r="A322" s="47">
        <v>311551</v>
      </c>
      <c r="B322" s="51" t="s">
        <v>221</v>
      </c>
      <c r="C322" s="62">
        <v>0</v>
      </c>
      <c r="D322" s="62">
        <v>0</v>
      </c>
      <c r="E322" s="62">
        <f>2923-2923</f>
        <v>0</v>
      </c>
      <c r="F322" s="27">
        <f aca="true" t="shared" si="91" ref="F322:F327">C322-D322+E322</f>
        <v>0</v>
      </c>
      <c r="G322" s="62">
        <v>0</v>
      </c>
      <c r="H322" s="77">
        <f t="shared" si="89"/>
        <v>0</v>
      </c>
    </row>
    <row r="323" spans="1:8" ht="12">
      <c r="A323" s="47">
        <v>311552</v>
      </c>
      <c r="B323" s="51" t="s">
        <v>123</v>
      </c>
      <c r="C323" s="62">
        <v>976340</v>
      </c>
      <c r="D323" s="62">
        <v>0</v>
      </c>
      <c r="E323" s="62">
        <v>0</v>
      </c>
      <c r="F323" s="27">
        <f t="shared" si="91"/>
        <v>976340</v>
      </c>
      <c r="G323" s="62">
        <v>0</v>
      </c>
      <c r="H323" s="77">
        <f t="shared" si="89"/>
        <v>976340</v>
      </c>
    </row>
    <row r="324" spans="1:8" ht="12">
      <c r="A324" s="47">
        <v>311562</v>
      </c>
      <c r="B324" s="51" t="s">
        <v>61</v>
      </c>
      <c r="C324" s="62">
        <v>2393341</v>
      </c>
      <c r="D324" s="62">
        <v>0</v>
      </c>
      <c r="E324" s="62">
        <v>0</v>
      </c>
      <c r="F324" s="27">
        <f t="shared" si="91"/>
        <v>2393341</v>
      </c>
      <c r="G324" s="62">
        <v>0</v>
      </c>
      <c r="H324" s="77">
        <f t="shared" si="89"/>
        <v>2393341</v>
      </c>
    </row>
    <row r="325" spans="1:8" ht="12">
      <c r="A325" s="47">
        <v>311569</v>
      </c>
      <c r="B325" s="51" t="s">
        <v>126</v>
      </c>
      <c r="C325" s="62">
        <v>0</v>
      </c>
      <c r="D325" s="62">
        <v>0</v>
      </c>
      <c r="E325" s="62">
        <v>0</v>
      </c>
      <c r="F325" s="27">
        <f t="shared" si="91"/>
        <v>0</v>
      </c>
      <c r="G325" s="62">
        <v>0</v>
      </c>
      <c r="H325" s="77">
        <f t="shared" si="89"/>
        <v>0</v>
      </c>
    </row>
    <row r="326" spans="1:8" ht="12">
      <c r="A326" s="47">
        <v>311570</v>
      </c>
      <c r="B326" s="51" t="s">
        <v>222</v>
      </c>
      <c r="C326" s="62">
        <v>0</v>
      </c>
      <c r="D326" s="62">
        <v>0</v>
      </c>
      <c r="E326" s="62">
        <v>0</v>
      </c>
      <c r="F326" s="27">
        <f t="shared" si="91"/>
        <v>0</v>
      </c>
      <c r="G326" s="62">
        <v>0</v>
      </c>
      <c r="H326" s="77">
        <f t="shared" si="89"/>
        <v>0</v>
      </c>
    </row>
    <row r="327" spans="1:8" ht="12">
      <c r="A327" s="47">
        <v>311571</v>
      </c>
      <c r="B327" s="51" t="s">
        <v>128</v>
      </c>
      <c r="C327" s="62">
        <v>0</v>
      </c>
      <c r="D327" s="62">
        <v>0</v>
      </c>
      <c r="E327" s="62">
        <v>0</v>
      </c>
      <c r="F327" s="27">
        <f t="shared" si="91"/>
        <v>0</v>
      </c>
      <c r="G327" s="62">
        <v>0</v>
      </c>
      <c r="H327" s="77">
        <f t="shared" si="89"/>
        <v>0</v>
      </c>
    </row>
    <row r="328" spans="1:8" ht="12">
      <c r="A328" s="47">
        <v>311700</v>
      </c>
      <c r="B328" s="48" t="s">
        <v>223</v>
      </c>
      <c r="C328" s="60">
        <f aca="true" t="shared" si="92" ref="C328:H328">SUM(C329:C330)</f>
        <v>0</v>
      </c>
      <c r="D328" s="60">
        <f t="shared" si="92"/>
        <v>0</v>
      </c>
      <c r="E328" s="60">
        <f t="shared" si="92"/>
        <v>0</v>
      </c>
      <c r="F328" s="60">
        <f t="shared" si="92"/>
        <v>0</v>
      </c>
      <c r="G328" s="60">
        <f t="shared" si="92"/>
        <v>0</v>
      </c>
      <c r="H328" s="61">
        <f t="shared" si="92"/>
        <v>0</v>
      </c>
    </row>
    <row r="329" spans="1:8" ht="12">
      <c r="A329" s="47">
        <v>311703</v>
      </c>
      <c r="B329" s="51" t="s">
        <v>224</v>
      </c>
      <c r="C329" s="62">
        <v>0</v>
      </c>
      <c r="D329" s="62">
        <v>0</v>
      </c>
      <c r="E329" s="62">
        <v>0</v>
      </c>
      <c r="F329" s="27">
        <f>+C329+D329-E329</f>
        <v>0</v>
      </c>
      <c r="G329" s="62">
        <v>0</v>
      </c>
      <c r="H329" s="77">
        <f t="shared" si="89"/>
        <v>0</v>
      </c>
    </row>
    <row r="330" spans="1:8" ht="12">
      <c r="A330" s="47">
        <v>311725</v>
      </c>
      <c r="B330" s="51" t="s">
        <v>225</v>
      </c>
      <c r="C330" s="62">
        <v>0</v>
      </c>
      <c r="D330" s="62">
        <v>0</v>
      </c>
      <c r="E330" s="62">
        <v>0</v>
      </c>
      <c r="F330" s="27">
        <f>+C330+D330-E330</f>
        <v>0</v>
      </c>
      <c r="G330" s="62">
        <v>0</v>
      </c>
      <c r="H330" s="77">
        <f t="shared" si="89"/>
        <v>0</v>
      </c>
    </row>
    <row r="331" spans="1:8" ht="12">
      <c r="A331" s="47">
        <v>312000</v>
      </c>
      <c r="B331" s="58" t="s">
        <v>226</v>
      </c>
      <c r="C331" s="60">
        <f aca="true" t="shared" si="93" ref="C331:H331">SUM(C332:C333)</f>
        <v>879893</v>
      </c>
      <c r="D331" s="60">
        <f t="shared" si="93"/>
        <v>0</v>
      </c>
      <c r="E331" s="60">
        <f t="shared" si="93"/>
        <v>0</v>
      </c>
      <c r="F331" s="60">
        <f t="shared" si="93"/>
        <v>879893</v>
      </c>
      <c r="G331" s="60">
        <f t="shared" si="93"/>
        <v>0</v>
      </c>
      <c r="H331" s="61">
        <f t="shared" si="93"/>
        <v>879893</v>
      </c>
    </row>
    <row r="332" spans="1:8" ht="12">
      <c r="A332" s="47">
        <v>312001</v>
      </c>
      <c r="B332" s="59" t="s">
        <v>227</v>
      </c>
      <c r="C332" s="62">
        <v>0</v>
      </c>
      <c r="D332" s="62">
        <v>0</v>
      </c>
      <c r="E332" s="62">
        <v>0</v>
      </c>
      <c r="F332" s="27">
        <f>+C332+D332-E332</f>
        <v>0</v>
      </c>
      <c r="G332" s="62">
        <v>0</v>
      </c>
      <c r="H332" s="77">
        <f t="shared" si="89"/>
        <v>0</v>
      </c>
    </row>
    <row r="333" spans="1:8" ht="12">
      <c r="A333" s="47">
        <v>312002</v>
      </c>
      <c r="B333" s="51" t="s">
        <v>228</v>
      </c>
      <c r="C333" s="62">
        <v>879893</v>
      </c>
      <c r="D333" s="62">
        <v>0</v>
      </c>
      <c r="E333" s="62">
        <v>0</v>
      </c>
      <c r="F333" s="27">
        <f>C333-D333+E333</f>
        <v>879893</v>
      </c>
      <c r="G333" s="62">
        <v>0</v>
      </c>
      <c r="H333" s="77">
        <f t="shared" si="89"/>
        <v>879893</v>
      </c>
    </row>
    <row r="334" spans="1:8" ht="12">
      <c r="A334" s="47">
        <v>312500</v>
      </c>
      <c r="B334" s="48" t="s">
        <v>229</v>
      </c>
      <c r="C334" s="60">
        <f aca="true" t="shared" si="94" ref="C334:H334">SUM(C335:C337)</f>
        <v>27133235</v>
      </c>
      <c r="D334" s="60">
        <f t="shared" si="94"/>
        <v>204000</v>
      </c>
      <c r="E334" s="60">
        <f t="shared" si="94"/>
        <v>225792</v>
      </c>
      <c r="F334" s="60">
        <f t="shared" si="94"/>
        <v>27155027</v>
      </c>
      <c r="G334" s="60">
        <f t="shared" si="94"/>
        <v>0</v>
      </c>
      <c r="H334" s="61">
        <f t="shared" si="94"/>
        <v>27155027</v>
      </c>
    </row>
    <row r="335" spans="1:8" ht="12">
      <c r="A335" s="47">
        <v>312505</v>
      </c>
      <c r="B335" s="51" t="s">
        <v>230</v>
      </c>
      <c r="C335" s="62">
        <v>10263271</v>
      </c>
      <c r="D335" s="62">
        <v>0</v>
      </c>
      <c r="E335" s="62">
        <v>18792</v>
      </c>
      <c r="F335" s="27">
        <f>C335-D335+E335</f>
        <v>10282063</v>
      </c>
      <c r="G335" s="62">
        <v>0</v>
      </c>
      <c r="H335" s="77">
        <f t="shared" si="89"/>
        <v>10282063</v>
      </c>
    </row>
    <row r="336" spans="1:8" ht="12">
      <c r="A336" s="47">
        <v>312506</v>
      </c>
      <c r="B336" s="51" t="s">
        <v>118</v>
      </c>
      <c r="C336" s="62">
        <v>16869964</v>
      </c>
      <c r="D336" s="62">
        <v>204000</v>
      </c>
      <c r="E336" s="62">
        <v>207000</v>
      </c>
      <c r="F336" s="27">
        <f>C336-D336+E336</f>
        <v>16872964</v>
      </c>
      <c r="G336" s="62">
        <v>0</v>
      </c>
      <c r="H336" s="77">
        <f t="shared" si="89"/>
        <v>16872964</v>
      </c>
    </row>
    <row r="337" spans="1:8" ht="12">
      <c r="A337" s="47">
        <v>312509</v>
      </c>
      <c r="B337" s="51" t="s">
        <v>231</v>
      </c>
      <c r="C337" s="62">
        <v>0</v>
      </c>
      <c r="D337" s="62">
        <v>0</v>
      </c>
      <c r="E337" s="62">
        <v>0</v>
      </c>
      <c r="F337" s="27">
        <f>+C337+D337-E337</f>
        <v>0</v>
      </c>
      <c r="G337" s="62">
        <v>0</v>
      </c>
      <c r="H337" s="77">
        <f t="shared" si="89"/>
        <v>0</v>
      </c>
    </row>
    <row r="338" spans="1:8" ht="12">
      <c r="A338" s="47">
        <v>313000</v>
      </c>
      <c r="B338" s="58" t="s">
        <v>232</v>
      </c>
      <c r="C338" s="60">
        <f aca="true" t="shared" si="95" ref="C338:H338">SUM(C339:C340)</f>
        <v>0</v>
      </c>
      <c r="D338" s="60">
        <f t="shared" si="95"/>
        <v>0</v>
      </c>
      <c r="E338" s="60">
        <f t="shared" si="95"/>
        <v>0</v>
      </c>
      <c r="F338" s="60">
        <f t="shared" si="95"/>
        <v>0</v>
      </c>
      <c r="G338" s="60">
        <f t="shared" si="95"/>
        <v>0</v>
      </c>
      <c r="H338" s="61">
        <f t="shared" si="95"/>
        <v>0</v>
      </c>
    </row>
    <row r="339" spans="1:8" ht="12">
      <c r="A339" s="47">
        <v>313001</v>
      </c>
      <c r="B339" s="51" t="s">
        <v>233</v>
      </c>
      <c r="C339" s="62">
        <v>0</v>
      </c>
      <c r="D339" s="62">
        <v>0</v>
      </c>
      <c r="E339" s="62">
        <v>0</v>
      </c>
      <c r="F339" s="27">
        <f>+C339+D339-E339</f>
        <v>0</v>
      </c>
      <c r="G339" s="62">
        <v>0</v>
      </c>
      <c r="H339" s="77">
        <f t="shared" si="89"/>
        <v>0</v>
      </c>
    </row>
    <row r="340" spans="1:8" ht="12">
      <c r="A340" s="47">
        <v>313002</v>
      </c>
      <c r="B340" s="59" t="s">
        <v>234</v>
      </c>
      <c r="C340" s="62">
        <v>0</v>
      </c>
      <c r="D340" s="62">
        <v>0</v>
      </c>
      <c r="E340" s="62">
        <v>0</v>
      </c>
      <c r="F340" s="27">
        <f>+C340+D340-E340</f>
        <v>0</v>
      </c>
      <c r="G340" s="62">
        <v>0</v>
      </c>
      <c r="H340" s="77">
        <f t="shared" si="89"/>
        <v>0</v>
      </c>
    </row>
    <row r="341" spans="1:8" ht="12">
      <c r="A341" s="47">
        <v>313800</v>
      </c>
      <c r="B341" s="48" t="s">
        <v>235</v>
      </c>
      <c r="C341" s="60">
        <f aca="true" t="shared" si="96" ref="C341:H341">SUM(C342:C346)</f>
        <v>-35644</v>
      </c>
      <c r="D341" s="60">
        <f t="shared" si="96"/>
        <v>0</v>
      </c>
      <c r="E341" s="60">
        <f t="shared" si="96"/>
        <v>0</v>
      </c>
      <c r="F341" s="60">
        <f t="shared" si="96"/>
        <v>-35644</v>
      </c>
      <c r="G341" s="60">
        <f t="shared" si="96"/>
        <v>0</v>
      </c>
      <c r="H341" s="61">
        <f t="shared" si="96"/>
        <v>-35644</v>
      </c>
    </row>
    <row r="342" spans="1:8" ht="12">
      <c r="A342" s="47">
        <v>313801</v>
      </c>
      <c r="B342" s="51" t="s">
        <v>236</v>
      </c>
      <c r="C342" s="62">
        <v>-2764</v>
      </c>
      <c r="D342" s="62">
        <f>463-463</f>
        <v>0</v>
      </c>
      <c r="E342" s="62">
        <v>0</v>
      </c>
      <c r="F342" s="27">
        <f>C342-D342+E342</f>
        <v>-2764</v>
      </c>
      <c r="G342" s="62">
        <v>0</v>
      </c>
      <c r="H342" s="77">
        <f t="shared" si="89"/>
        <v>-2764</v>
      </c>
    </row>
    <row r="343" spans="1:8" ht="12">
      <c r="A343" s="47">
        <v>313804</v>
      </c>
      <c r="B343" s="51" t="s">
        <v>117</v>
      </c>
      <c r="C343" s="62">
        <v>0</v>
      </c>
      <c r="D343" s="62">
        <f>62231-62231</f>
        <v>0</v>
      </c>
      <c r="E343" s="62">
        <v>0</v>
      </c>
      <c r="F343" s="27">
        <f>C343-D343+E343</f>
        <v>0</v>
      </c>
      <c r="G343" s="62">
        <v>0</v>
      </c>
      <c r="H343" s="77">
        <f t="shared" si="89"/>
        <v>0</v>
      </c>
    </row>
    <row r="344" spans="1:8" ht="12">
      <c r="A344" s="47">
        <v>313805</v>
      </c>
      <c r="B344" s="51" t="s">
        <v>230</v>
      </c>
      <c r="C344" s="62">
        <v>-32880</v>
      </c>
      <c r="D344" s="62">
        <v>0</v>
      </c>
      <c r="E344" s="62">
        <v>0</v>
      </c>
      <c r="F344" s="27">
        <f>C344-D344+E344</f>
        <v>-32880</v>
      </c>
      <c r="G344" s="62">
        <v>0</v>
      </c>
      <c r="H344" s="77">
        <f t="shared" si="89"/>
        <v>-32880</v>
      </c>
    </row>
    <row r="345" spans="1:8" ht="12">
      <c r="A345" s="47">
        <v>313806</v>
      </c>
      <c r="B345" s="51" t="s">
        <v>220</v>
      </c>
      <c r="C345" s="62">
        <v>0</v>
      </c>
      <c r="D345" s="62">
        <v>0</v>
      </c>
      <c r="E345" s="62">
        <v>0</v>
      </c>
      <c r="F345" s="27">
        <f>+C345+D345-E345</f>
        <v>0</v>
      </c>
      <c r="G345" s="62">
        <v>0</v>
      </c>
      <c r="H345" s="77">
        <f t="shared" si="89"/>
        <v>0</v>
      </c>
    </row>
    <row r="346" spans="1:8" ht="12">
      <c r="A346" s="47">
        <v>313812</v>
      </c>
      <c r="B346" s="51" t="s">
        <v>210</v>
      </c>
      <c r="C346" s="62">
        <v>0</v>
      </c>
      <c r="D346" s="62">
        <v>0</v>
      </c>
      <c r="E346" s="62">
        <f>49578-49578</f>
        <v>0</v>
      </c>
      <c r="F346" s="27">
        <f>C346-D346+E346</f>
        <v>0</v>
      </c>
      <c r="G346" s="62">
        <v>0</v>
      </c>
      <c r="H346" s="77">
        <f t="shared" si="89"/>
        <v>0</v>
      </c>
    </row>
    <row r="347" spans="1:8" ht="12">
      <c r="A347" s="78">
        <v>400000</v>
      </c>
      <c r="B347" s="79" t="s">
        <v>237</v>
      </c>
      <c r="C347" s="54">
        <f aca="true" t="shared" si="97" ref="C347:H347">C348+C364+C372+C375+C393</f>
        <v>2853934087</v>
      </c>
      <c r="D347" s="54">
        <f t="shared" si="97"/>
        <v>40681097</v>
      </c>
      <c r="E347" s="54">
        <f t="shared" si="97"/>
        <v>3063817586</v>
      </c>
      <c r="F347" s="54">
        <f t="shared" si="97"/>
        <v>5877070576</v>
      </c>
      <c r="G347" s="54">
        <f t="shared" si="97"/>
        <v>0</v>
      </c>
      <c r="H347" s="55">
        <f t="shared" si="97"/>
        <v>5877070576</v>
      </c>
    </row>
    <row r="348" spans="1:8" ht="12">
      <c r="A348" s="78">
        <v>410000</v>
      </c>
      <c r="B348" s="79" t="s">
        <v>238</v>
      </c>
      <c r="C348" s="54">
        <f aca="true" t="shared" si="98" ref="C348:H348">C349+C356+C361</f>
        <v>22659287</v>
      </c>
      <c r="D348" s="54">
        <f t="shared" si="98"/>
        <v>474025</v>
      </c>
      <c r="E348" s="54">
        <f t="shared" si="98"/>
        <v>63431405</v>
      </c>
      <c r="F348" s="54">
        <f t="shared" si="98"/>
        <v>85616667</v>
      </c>
      <c r="G348" s="54">
        <f t="shared" si="98"/>
        <v>0</v>
      </c>
      <c r="H348" s="55">
        <f t="shared" si="98"/>
        <v>85616667</v>
      </c>
    </row>
    <row r="349" spans="1:8" ht="12">
      <c r="A349" s="78">
        <v>411000</v>
      </c>
      <c r="B349" s="79" t="s">
        <v>239</v>
      </c>
      <c r="C349" s="54">
        <f aca="true" t="shared" si="99" ref="C349:H349">SUM(C350:C355)</f>
        <v>70</v>
      </c>
      <c r="D349" s="54">
        <f t="shared" si="99"/>
        <v>0</v>
      </c>
      <c r="E349" s="54">
        <f t="shared" si="99"/>
        <v>25023812</v>
      </c>
      <c r="F349" s="54">
        <f t="shared" si="99"/>
        <v>25023882</v>
      </c>
      <c r="G349" s="54">
        <f t="shared" si="99"/>
        <v>0</v>
      </c>
      <c r="H349" s="55">
        <f t="shared" si="99"/>
        <v>25023882</v>
      </c>
    </row>
    <row r="350" spans="1:8" ht="12">
      <c r="A350" s="78">
        <v>411001</v>
      </c>
      <c r="B350" s="80" t="s">
        <v>2803</v>
      </c>
      <c r="C350" s="56">
        <v>0</v>
      </c>
      <c r="D350" s="56">
        <v>0</v>
      </c>
      <c r="E350" s="56">
        <v>25000904</v>
      </c>
      <c r="F350" s="27">
        <f>C350-D350+E350</f>
        <v>25000904</v>
      </c>
      <c r="G350" s="56">
        <v>0</v>
      </c>
      <c r="H350" s="77">
        <f aca="true" t="shared" si="100" ref="H350:H360">+F350</f>
        <v>25000904</v>
      </c>
    </row>
    <row r="351" spans="1:8" ht="12">
      <c r="A351" s="78">
        <v>411002</v>
      </c>
      <c r="B351" s="80" t="s">
        <v>2804</v>
      </c>
      <c r="C351" s="56">
        <v>0</v>
      </c>
      <c r="D351" s="56">
        <v>0</v>
      </c>
      <c r="E351" s="56">
        <v>15051</v>
      </c>
      <c r="F351" s="27">
        <f>C351-D351+E351</f>
        <v>15051</v>
      </c>
      <c r="G351" s="56">
        <v>0</v>
      </c>
      <c r="H351" s="77">
        <f t="shared" si="100"/>
        <v>15051</v>
      </c>
    </row>
    <row r="352" spans="1:8" ht="12">
      <c r="A352" s="78">
        <v>411016</v>
      </c>
      <c r="B352" s="80" t="s">
        <v>240</v>
      </c>
      <c r="C352" s="56">
        <v>0</v>
      </c>
      <c r="D352" s="56">
        <v>0</v>
      </c>
      <c r="E352" s="56">
        <v>7827</v>
      </c>
      <c r="F352" s="27">
        <f>C352-D352+E352</f>
        <v>7827</v>
      </c>
      <c r="G352" s="56">
        <v>0</v>
      </c>
      <c r="H352" s="77">
        <f t="shared" si="100"/>
        <v>7827</v>
      </c>
    </row>
    <row r="353" spans="1:8" ht="12">
      <c r="A353" s="78">
        <v>411021</v>
      </c>
      <c r="B353" s="80" t="s">
        <v>241</v>
      </c>
      <c r="C353" s="56">
        <v>0</v>
      </c>
      <c r="D353" s="56">
        <v>0</v>
      </c>
      <c r="E353" s="56">
        <v>0</v>
      </c>
      <c r="F353" s="27">
        <f>+C353+D353-E353</f>
        <v>0</v>
      </c>
      <c r="G353" s="56">
        <v>0</v>
      </c>
      <c r="H353" s="77">
        <f t="shared" si="100"/>
        <v>0</v>
      </c>
    </row>
    <row r="354" spans="1:8" ht="12">
      <c r="A354" s="78">
        <v>411032</v>
      </c>
      <c r="B354" s="80" t="s">
        <v>242</v>
      </c>
      <c r="C354" s="56">
        <v>0</v>
      </c>
      <c r="D354" s="56">
        <v>0</v>
      </c>
      <c r="E354" s="56">
        <v>0</v>
      </c>
      <c r="F354" s="27">
        <f>+C354+D354-E354</f>
        <v>0</v>
      </c>
      <c r="G354" s="56">
        <v>0</v>
      </c>
      <c r="H354" s="77">
        <f t="shared" si="100"/>
        <v>0</v>
      </c>
    </row>
    <row r="355" spans="1:8" ht="12">
      <c r="A355" s="78">
        <v>411090</v>
      </c>
      <c r="B355" s="80" t="s">
        <v>243</v>
      </c>
      <c r="C355" s="56">
        <v>70</v>
      </c>
      <c r="D355" s="56">
        <v>0</v>
      </c>
      <c r="E355" s="56">
        <v>30</v>
      </c>
      <c r="F355" s="27">
        <f>C355-D355+E355</f>
        <v>100</v>
      </c>
      <c r="G355" s="56">
        <v>0</v>
      </c>
      <c r="H355" s="77">
        <f t="shared" si="100"/>
        <v>100</v>
      </c>
    </row>
    <row r="356" spans="1:8" ht="12">
      <c r="A356" s="78">
        <v>412000</v>
      </c>
      <c r="B356" s="79" t="s">
        <v>244</v>
      </c>
      <c r="C356" s="54">
        <f aca="true" t="shared" si="101" ref="C356:H356">SUM(C357:C360)</f>
        <v>22659217</v>
      </c>
      <c r="D356" s="54">
        <f t="shared" si="101"/>
        <v>474025</v>
      </c>
      <c r="E356" s="54">
        <f t="shared" si="101"/>
        <v>38407593</v>
      </c>
      <c r="F356" s="54">
        <f t="shared" si="101"/>
        <v>60592785</v>
      </c>
      <c r="G356" s="54">
        <f t="shared" si="101"/>
        <v>0</v>
      </c>
      <c r="H356" s="55">
        <f t="shared" si="101"/>
        <v>60592785</v>
      </c>
    </row>
    <row r="357" spans="1:8" ht="12">
      <c r="A357" s="78">
        <v>412014</v>
      </c>
      <c r="B357" s="80" t="s">
        <v>245</v>
      </c>
      <c r="C357" s="56">
        <v>21888176</v>
      </c>
      <c r="D357" s="56">
        <v>474025</v>
      </c>
      <c r="E357" s="56">
        <v>37749821</v>
      </c>
      <c r="F357" s="27">
        <f>C357-D357+E357</f>
        <v>59163972</v>
      </c>
      <c r="G357" s="56">
        <v>0</v>
      </c>
      <c r="H357" s="77">
        <f t="shared" si="100"/>
        <v>59163972</v>
      </c>
    </row>
    <row r="358" spans="1:8" ht="12">
      <c r="A358" s="78">
        <v>412015</v>
      </c>
      <c r="B358" s="80" t="s">
        <v>2808</v>
      </c>
      <c r="C358" s="56">
        <v>0</v>
      </c>
      <c r="D358" s="56">
        <v>0</v>
      </c>
      <c r="E358" s="56">
        <v>0</v>
      </c>
      <c r="F358" s="27">
        <f>+C358+D358-E358</f>
        <v>0</v>
      </c>
      <c r="G358" s="56">
        <v>0</v>
      </c>
      <c r="H358" s="77">
        <f t="shared" si="100"/>
        <v>0</v>
      </c>
    </row>
    <row r="359" spans="1:8" ht="22.5">
      <c r="A359" s="78">
        <v>412043</v>
      </c>
      <c r="B359" s="80" t="s">
        <v>246</v>
      </c>
      <c r="C359" s="56">
        <v>771041</v>
      </c>
      <c r="D359" s="56">
        <v>0</v>
      </c>
      <c r="E359" s="56">
        <v>657772</v>
      </c>
      <c r="F359" s="27">
        <f>C359-D359+E359</f>
        <v>1428813</v>
      </c>
      <c r="G359" s="56">
        <v>0</v>
      </c>
      <c r="H359" s="77">
        <f t="shared" si="100"/>
        <v>1428813</v>
      </c>
    </row>
    <row r="360" spans="1:8" ht="12">
      <c r="A360" s="78">
        <v>412090</v>
      </c>
      <c r="B360" s="80" t="s">
        <v>247</v>
      </c>
      <c r="C360" s="56">
        <v>0</v>
      </c>
      <c r="D360" s="56">
        <v>0</v>
      </c>
      <c r="E360" s="56">
        <v>0</v>
      </c>
      <c r="F360" s="27">
        <f>+C360+D360-E360</f>
        <v>0</v>
      </c>
      <c r="G360" s="56">
        <v>0</v>
      </c>
      <c r="H360" s="77">
        <f t="shared" si="100"/>
        <v>0</v>
      </c>
    </row>
    <row r="361" spans="1:8" ht="12">
      <c r="A361" s="78">
        <v>419500</v>
      </c>
      <c r="B361" s="79" t="s">
        <v>248</v>
      </c>
      <c r="C361" s="54">
        <f aca="true" t="shared" si="102" ref="C361:H361">SUM(C362:C363)</f>
        <v>0</v>
      </c>
      <c r="D361" s="54">
        <f t="shared" si="102"/>
        <v>0</v>
      </c>
      <c r="E361" s="54">
        <f t="shared" si="102"/>
        <v>0</v>
      </c>
      <c r="F361" s="54">
        <f t="shared" si="102"/>
        <v>0</v>
      </c>
      <c r="G361" s="54">
        <f t="shared" si="102"/>
        <v>0</v>
      </c>
      <c r="H361" s="55">
        <f t="shared" si="102"/>
        <v>0</v>
      </c>
    </row>
    <row r="362" spans="1:8" ht="12">
      <c r="A362" s="78">
        <v>419502</v>
      </c>
      <c r="B362" s="80" t="s">
        <v>249</v>
      </c>
      <c r="C362" s="56">
        <v>0</v>
      </c>
      <c r="D362" s="56">
        <v>0</v>
      </c>
      <c r="E362" s="56">
        <v>0</v>
      </c>
      <c r="F362" s="27">
        <f>+C362+D362-E362</f>
        <v>0</v>
      </c>
      <c r="G362" s="56">
        <v>0</v>
      </c>
      <c r="H362" s="57">
        <v>0</v>
      </c>
    </row>
    <row r="363" spans="1:8" ht="12">
      <c r="A363" s="78">
        <v>419504</v>
      </c>
      <c r="B363" s="80" t="s">
        <v>250</v>
      </c>
      <c r="C363" s="56">
        <v>0</v>
      </c>
      <c r="D363" s="56">
        <v>0</v>
      </c>
      <c r="E363" s="56">
        <v>0</v>
      </c>
      <c r="F363" s="27">
        <f>+C363+D363-E363</f>
        <v>0</v>
      </c>
      <c r="G363" s="56">
        <v>0</v>
      </c>
      <c r="H363" s="57">
        <v>0</v>
      </c>
    </row>
    <row r="364" spans="1:8" ht="12">
      <c r="A364" s="78">
        <v>430000</v>
      </c>
      <c r="B364" s="79" t="s">
        <v>251</v>
      </c>
      <c r="C364" s="54">
        <f aca="true" t="shared" si="103" ref="C364:H364">C365+C368+C370</f>
        <v>0</v>
      </c>
      <c r="D364" s="54">
        <f t="shared" si="103"/>
        <v>0</v>
      </c>
      <c r="E364" s="54">
        <f t="shared" si="103"/>
        <v>0</v>
      </c>
      <c r="F364" s="54">
        <f t="shared" si="103"/>
        <v>0</v>
      </c>
      <c r="G364" s="54">
        <f t="shared" si="103"/>
        <v>0</v>
      </c>
      <c r="H364" s="55">
        <f t="shared" si="103"/>
        <v>0</v>
      </c>
    </row>
    <row r="365" spans="1:8" ht="12">
      <c r="A365" s="78">
        <v>430500</v>
      </c>
      <c r="B365" s="79" t="s">
        <v>252</v>
      </c>
      <c r="C365" s="56">
        <f aca="true" t="shared" si="104" ref="C365:H365">SUM(C366:C367)</f>
        <v>0</v>
      </c>
      <c r="D365" s="56">
        <f t="shared" si="104"/>
        <v>0</v>
      </c>
      <c r="E365" s="56">
        <f t="shared" si="104"/>
        <v>0</v>
      </c>
      <c r="F365" s="56">
        <f t="shared" si="104"/>
        <v>0</v>
      </c>
      <c r="G365" s="56">
        <f t="shared" si="104"/>
        <v>0</v>
      </c>
      <c r="H365" s="57">
        <f t="shared" si="104"/>
        <v>0</v>
      </c>
    </row>
    <row r="366" spans="1:8" ht="12">
      <c r="A366" s="78">
        <v>430512</v>
      </c>
      <c r="B366" s="80" t="s">
        <v>253</v>
      </c>
      <c r="C366" s="56">
        <v>0</v>
      </c>
      <c r="D366" s="56">
        <v>0</v>
      </c>
      <c r="E366" s="56">
        <v>0</v>
      </c>
      <c r="F366" s="27">
        <f>+C366+D366-E366</f>
        <v>0</v>
      </c>
      <c r="G366" s="56">
        <v>0</v>
      </c>
      <c r="H366" s="57">
        <v>0</v>
      </c>
    </row>
    <row r="367" spans="1:8" ht="12">
      <c r="A367" s="78">
        <v>430515</v>
      </c>
      <c r="B367" s="80" t="s">
        <v>254</v>
      </c>
      <c r="C367" s="56">
        <v>0</v>
      </c>
      <c r="D367" s="56">
        <v>0</v>
      </c>
      <c r="E367" s="56">
        <v>0</v>
      </c>
      <c r="F367" s="27">
        <f>+C367+D367-E367</f>
        <v>0</v>
      </c>
      <c r="G367" s="56">
        <v>0</v>
      </c>
      <c r="H367" s="57">
        <v>0</v>
      </c>
    </row>
    <row r="368" spans="1:8" ht="12">
      <c r="A368" s="78">
        <v>439000</v>
      </c>
      <c r="B368" s="79" t="s">
        <v>255</v>
      </c>
      <c r="C368" s="56">
        <f aca="true" t="shared" si="105" ref="C368:H368">SUM(C369)</f>
        <v>0</v>
      </c>
      <c r="D368" s="56">
        <f t="shared" si="105"/>
        <v>0</v>
      </c>
      <c r="E368" s="56">
        <f t="shared" si="105"/>
        <v>0</v>
      </c>
      <c r="F368" s="56">
        <f t="shared" si="105"/>
        <v>0</v>
      </c>
      <c r="G368" s="56">
        <f t="shared" si="105"/>
        <v>0</v>
      </c>
      <c r="H368" s="57">
        <f t="shared" si="105"/>
        <v>0</v>
      </c>
    </row>
    <row r="369" spans="1:8" ht="12">
      <c r="A369" s="78">
        <v>439023</v>
      </c>
      <c r="B369" s="80" t="s">
        <v>0</v>
      </c>
      <c r="C369" s="56"/>
      <c r="D369" s="56"/>
      <c r="E369" s="56"/>
      <c r="F369" s="27"/>
      <c r="G369" s="56"/>
      <c r="H369" s="57"/>
    </row>
    <row r="370" spans="1:8" ht="22.5">
      <c r="A370" s="78">
        <v>439500</v>
      </c>
      <c r="B370" s="79" t="s">
        <v>256</v>
      </c>
      <c r="C370" s="54">
        <f aca="true" t="shared" si="106" ref="C370:H370">SUM(C371)</f>
        <v>0</v>
      </c>
      <c r="D370" s="54">
        <f t="shared" si="106"/>
        <v>0</v>
      </c>
      <c r="E370" s="54">
        <f t="shared" si="106"/>
        <v>0</v>
      </c>
      <c r="F370" s="54">
        <f t="shared" si="106"/>
        <v>0</v>
      </c>
      <c r="G370" s="54">
        <f t="shared" si="106"/>
        <v>0</v>
      </c>
      <c r="H370" s="55">
        <f t="shared" si="106"/>
        <v>0</v>
      </c>
    </row>
    <row r="371" spans="1:8" ht="12">
      <c r="A371" s="78">
        <v>439501</v>
      </c>
      <c r="B371" s="80" t="s">
        <v>2811</v>
      </c>
      <c r="C371" s="56">
        <v>0</v>
      </c>
      <c r="D371" s="56">
        <v>0</v>
      </c>
      <c r="E371" s="56">
        <v>0</v>
      </c>
      <c r="F371" s="27">
        <f>+C371+D371-E371</f>
        <v>0</v>
      </c>
      <c r="G371" s="56">
        <v>0</v>
      </c>
      <c r="H371" s="57">
        <v>0</v>
      </c>
    </row>
    <row r="372" spans="1:8" ht="12">
      <c r="A372" s="78">
        <v>440000</v>
      </c>
      <c r="B372" s="79" t="s">
        <v>257</v>
      </c>
      <c r="C372" s="54">
        <f aca="true" t="shared" si="107" ref="C372:H372">C373</f>
        <v>0</v>
      </c>
      <c r="D372" s="54">
        <f t="shared" si="107"/>
        <v>0</v>
      </c>
      <c r="E372" s="54">
        <f t="shared" si="107"/>
        <v>0</v>
      </c>
      <c r="F372" s="54">
        <f t="shared" si="107"/>
        <v>0</v>
      </c>
      <c r="G372" s="54">
        <f t="shared" si="107"/>
        <v>0</v>
      </c>
      <c r="H372" s="55">
        <f t="shared" si="107"/>
        <v>0</v>
      </c>
    </row>
    <row r="373" spans="1:8" ht="22.5">
      <c r="A373" s="78">
        <v>440300</v>
      </c>
      <c r="B373" s="79" t="s">
        <v>258</v>
      </c>
      <c r="C373" s="56">
        <f aca="true" t="shared" si="108" ref="C373:H373">SUM(C374)</f>
        <v>0</v>
      </c>
      <c r="D373" s="56">
        <f t="shared" si="108"/>
        <v>0</v>
      </c>
      <c r="E373" s="56">
        <f t="shared" si="108"/>
        <v>0</v>
      </c>
      <c r="F373" s="56">
        <f t="shared" si="108"/>
        <v>0</v>
      </c>
      <c r="G373" s="56">
        <f t="shared" si="108"/>
        <v>0</v>
      </c>
      <c r="H373" s="57">
        <f t="shared" si="108"/>
        <v>0</v>
      </c>
    </row>
    <row r="374" spans="1:8" ht="12">
      <c r="A374" s="78">
        <v>440301</v>
      </c>
      <c r="B374" s="80" t="s">
        <v>259</v>
      </c>
      <c r="C374" s="56">
        <v>0</v>
      </c>
      <c r="D374" s="56">
        <v>0</v>
      </c>
      <c r="E374" s="56">
        <f>931260-931260</f>
        <v>0</v>
      </c>
      <c r="F374" s="27">
        <f>C374-D374+E374</f>
        <v>0</v>
      </c>
      <c r="G374" s="56">
        <v>0</v>
      </c>
      <c r="H374" s="57">
        <v>0</v>
      </c>
    </row>
    <row r="375" spans="1:8" ht="12">
      <c r="A375" s="78">
        <v>470000</v>
      </c>
      <c r="B375" s="79" t="s">
        <v>260</v>
      </c>
      <c r="C375" s="54">
        <f aca="true" t="shared" si="109" ref="C375:H375">C376+C382+C386+C391</f>
        <v>2828452153</v>
      </c>
      <c r="D375" s="54">
        <f t="shared" si="109"/>
        <v>39633815</v>
      </c>
      <c r="E375" s="54">
        <f t="shared" si="109"/>
        <v>2873582226</v>
      </c>
      <c r="F375" s="54">
        <f t="shared" si="109"/>
        <v>5662400564</v>
      </c>
      <c r="G375" s="54">
        <f t="shared" si="109"/>
        <v>0</v>
      </c>
      <c r="H375" s="55">
        <f t="shared" si="109"/>
        <v>5662400564</v>
      </c>
    </row>
    <row r="376" spans="1:8" ht="12">
      <c r="A376" s="78">
        <v>470500</v>
      </c>
      <c r="B376" s="79" t="s">
        <v>261</v>
      </c>
      <c r="C376" s="54">
        <f aca="true" t="shared" si="110" ref="C376:H376">SUM(C377:C381)</f>
        <v>2830501665</v>
      </c>
      <c r="D376" s="54">
        <f t="shared" si="110"/>
        <v>33858</v>
      </c>
      <c r="E376" s="54">
        <f t="shared" si="110"/>
        <v>2831709674</v>
      </c>
      <c r="F376" s="54">
        <f t="shared" si="110"/>
        <v>5662177481</v>
      </c>
      <c r="G376" s="54">
        <f t="shared" si="110"/>
        <v>0</v>
      </c>
      <c r="H376" s="55">
        <f t="shared" si="110"/>
        <v>5662177481</v>
      </c>
    </row>
    <row r="377" spans="1:8" ht="12">
      <c r="A377" s="78">
        <v>470501</v>
      </c>
      <c r="B377" s="80" t="s">
        <v>262</v>
      </c>
      <c r="C377" s="56">
        <v>3213835</v>
      </c>
      <c r="D377" s="56">
        <v>0</v>
      </c>
      <c r="E377" s="56">
        <v>3589999</v>
      </c>
      <c r="F377" s="27">
        <f>C377-D377+E377</f>
        <v>6803834</v>
      </c>
      <c r="G377" s="56">
        <v>0</v>
      </c>
      <c r="H377" s="77">
        <f aca="true" t="shared" si="111" ref="H377:H392">+F377</f>
        <v>6803834</v>
      </c>
    </row>
    <row r="378" spans="1:8" ht="12">
      <c r="A378" s="78">
        <v>470502</v>
      </c>
      <c r="B378" s="80" t="s">
        <v>263</v>
      </c>
      <c r="C378" s="56">
        <v>443099</v>
      </c>
      <c r="D378" s="56">
        <v>33858</v>
      </c>
      <c r="E378" s="56">
        <v>616351</v>
      </c>
      <c r="F378" s="27">
        <f>C378-D378+E378</f>
        <v>1025592</v>
      </c>
      <c r="G378" s="56">
        <v>0</v>
      </c>
      <c r="H378" s="77">
        <f t="shared" si="111"/>
        <v>1025592</v>
      </c>
    </row>
    <row r="379" spans="1:8" ht="12">
      <c r="A379" s="78">
        <v>470505</v>
      </c>
      <c r="B379" s="80" t="s">
        <v>264</v>
      </c>
      <c r="C379" s="56">
        <v>57984477</v>
      </c>
      <c r="D379" s="56">
        <v>0</v>
      </c>
      <c r="E379" s="56">
        <v>55670427</v>
      </c>
      <c r="F379" s="27">
        <f>C379-D379+E379</f>
        <v>113654904</v>
      </c>
      <c r="G379" s="56">
        <v>0</v>
      </c>
      <c r="H379" s="77">
        <f t="shared" si="111"/>
        <v>113654904</v>
      </c>
    </row>
    <row r="380" spans="1:8" ht="12">
      <c r="A380" s="78">
        <v>470506</v>
      </c>
      <c r="B380" s="80" t="s">
        <v>265</v>
      </c>
      <c r="C380" s="56">
        <v>2768860254</v>
      </c>
      <c r="D380" s="56">
        <v>0</v>
      </c>
      <c r="E380" s="56">
        <v>2771832897</v>
      </c>
      <c r="F380" s="27">
        <f>C380-D380+E380</f>
        <v>5540693151</v>
      </c>
      <c r="G380" s="56">
        <v>0</v>
      </c>
      <c r="H380" s="77">
        <f t="shared" si="111"/>
        <v>5540693151</v>
      </c>
    </row>
    <row r="381" spans="1:8" ht="12">
      <c r="A381" s="78">
        <v>470507</v>
      </c>
      <c r="B381" s="80" t="s">
        <v>266</v>
      </c>
      <c r="C381" s="56">
        <v>0</v>
      </c>
      <c r="D381" s="56">
        <v>0</v>
      </c>
      <c r="E381" s="56">
        <v>0</v>
      </c>
      <c r="F381" s="27">
        <f>+C381+D381-E381</f>
        <v>0</v>
      </c>
      <c r="G381" s="56">
        <v>0</v>
      </c>
      <c r="H381" s="77">
        <f t="shared" si="111"/>
        <v>0</v>
      </c>
    </row>
    <row r="382" spans="1:8" ht="12">
      <c r="A382" s="78">
        <v>472000</v>
      </c>
      <c r="B382" s="79" t="s">
        <v>267</v>
      </c>
      <c r="C382" s="54">
        <f aca="true" t="shared" si="112" ref="C382:H382">SUM(C383:C385)</f>
        <v>0</v>
      </c>
      <c r="D382" s="54">
        <f t="shared" si="112"/>
        <v>0</v>
      </c>
      <c r="E382" s="54">
        <f t="shared" si="112"/>
        <v>0</v>
      </c>
      <c r="F382" s="54">
        <f t="shared" si="112"/>
        <v>0</v>
      </c>
      <c r="G382" s="54">
        <f t="shared" si="112"/>
        <v>0</v>
      </c>
      <c r="H382" s="55">
        <f t="shared" si="112"/>
        <v>0</v>
      </c>
    </row>
    <row r="383" spans="1:8" ht="12">
      <c r="A383" s="78">
        <v>472002</v>
      </c>
      <c r="B383" s="80" t="s">
        <v>249</v>
      </c>
      <c r="C383" s="56">
        <v>0</v>
      </c>
      <c r="D383" s="56">
        <v>0</v>
      </c>
      <c r="E383" s="56">
        <v>0</v>
      </c>
      <c r="F383" s="27">
        <f>+C383+D383-E383</f>
        <v>0</v>
      </c>
      <c r="G383" s="56">
        <v>0</v>
      </c>
      <c r="H383" s="77">
        <f t="shared" si="111"/>
        <v>0</v>
      </c>
    </row>
    <row r="384" spans="1:8" ht="12">
      <c r="A384" s="78">
        <v>472003</v>
      </c>
      <c r="B384" s="80" t="s">
        <v>268</v>
      </c>
      <c r="C384" s="56">
        <v>0</v>
      </c>
      <c r="D384" s="56">
        <v>0</v>
      </c>
      <c r="E384" s="56">
        <v>0</v>
      </c>
      <c r="F384" s="27">
        <f>+C384+D384-E384</f>
        <v>0</v>
      </c>
      <c r="G384" s="56">
        <v>0</v>
      </c>
      <c r="H384" s="77">
        <f t="shared" si="111"/>
        <v>0</v>
      </c>
    </row>
    <row r="385" spans="1:8" ht="12">
      <c r="A385" s="78">
        <v>472005</v>
      </c>
      <c r="B385" s="80" t="s">
        <v>269</v>
      </c>
      <c r="C385" s="56">
        <v>0</v>
      </c>
      <c r="D385" s="56">
        <v>0</v>
      </c>
      <c r="E385" s="56">
        <v>0</v>
      </c>
      <c r="F385" s="27">
        <f>+C385+D385-E385</f>
        <v>0</v>
      </c>
      <c r="G385" s="56">
        <v>0</v>
      </c>
      <c r="H385" s="77">
        <f t="shared" si="111"/>
        <v>0</v>
      </c>
    </row>
    <row r="386" spans="1:8" ht="22.5">
      <c r="A386" s="78">
        <v>472200</v>
      </c>
      <c r="B386" s="79" t="s">
        <v>270</v>
      </c>
      <c r="C386" s="54">
        <f aca="true" t="shared" si="113" ref="C386:H386">SUM(C387:C390)</f>
        <v>-2049512</v>
      </c>
      <c r="D386" s="54">
        <f t="shared" si="113"/>
        <v>39599957</v>
      </c>
      <c r="E386" s="54">
        <f t="shared" si="113"/>
        <v>41872552</v>
      </c>
      <c r="F386" s="54">
        <f t="shared" si="113"/>
        <v>223083</v>
      </c>
      <c r="G386" s="54">
        <f t="shared" si="113"/>
        <v>0</v>
      </c>
      <c r="H386" s="55">
        <f t="shared" si="113"/>
        <v>223083</v>
      </c>
    </row>
    <row r="387" spans="1:8" ht="12">
      <c r="A387" s="78">
        <v>472203</v>
      </c>
      <c r="B387" s="80" t="s">
        <v>271</v>
      </c>
      <c r="C387" s="56">
        <v>0</v>
      </c>
      <c r="D387" s="56">
        <v>0</v>
      </c>
      <c r="E387" s="56">
        <v>1990733</v>
      </c>
      <c r="F387" s="27">
        <f>C387-D387+E387</f>
        <v>1990733</v>
      </c>
      <c r="G387" s="56">
        <v>0</v>
      </c>
      <c r="H387" s="77">
        <f t="shared" si="111"/>
        <v>1990733</v>
      </c>
    </row>
    <row r="388" spans="1:8" ht="12">
      <c r="A388" s="78">
        <v>472205</v>
      </c>
      <c r="B388" s="80" t="s">
        <v>272</v>
      </c>
      <c r="C388" s="56">
        <v>0</v>
      </c>
      <c r="D388" s="56">
        <v>0</v>
      </c>
      <c r="E388" s="56">
        <v>5092748</v>
      </c>
      <c r="F388" s="27">
        <f>C388-D388+E388</f>
        <v>5092748</v>
      </c>
      <c r="G388" s="56">
        <v>0</v>
      </c>
      <c r="H388" s="77">
        <f t="shared" si="111"/>
        <v>5092748</v>
      </c>
    </row>
    <row r="389" spans="1:8" ht="12">
      <c r="A389" s="78">
        <v>472206</v>
      </c>
      <c r="B389" s="80" t="s">
        <v>273</v>
      </c>
      <c r="C389" s="56">
        <v>-466156</v>
      </c>
      <c r="D389" s="56">
        <v>657772</v>
      </c>
      <c r="E389" s="56">
        <v>1123928</v>
      </c>
      <c r="F389" s="27">
        <f>C389-D389+E389</f>
        <v>0</v>
      </c>
      <c r="G389" s="81">
        <v>0</v>
      </c>
      <c r="H389" s="77">
        <f t="shared" si="111"/>
        <v>0</v>
      </c>
    </row>
    <row r="390" spans="1:8" ht="12">
      <c r="A390" s="78">
        <v>472290</v>
      </c>
      <c r="B390" s="80" t="s">
        <v>274</v>
      </c>
      <c r="C390" s="56">
        <v>-1583356</v>
      </c>
      <c r="D390" s="56">
        <v>38942185</v>
      </c>
      <c r="E390" s="56">
        <v>33665143</v>
      </c>
      <c r="F390" s="27">
        <f>C390-D390+E390</f>
        <v>-6860398</v>
      </c>
      <c r="G390" s="81">
        <v>0</v>
      </c>
      <c r="H390" s="77">
        <f t="shared" si="111"/>
        <v>-6860398</v>
      </c>
    </row>
    <row r="391" spans="1:8" ht="12">
      <c r="A391" s="78">
        <v>472500</v>
      </c>
      <c r="B391" s="79" t="s">
        <v>275</v>
      </c>
      <c r="C391" s="54">
        <f aca="true" t="shared" si="114" ref="C391:H391">SUM(C392)</f>
        <v>0</v>
      </c>
      <c r="D391" s="54">
        <f t="shared" si="114"/>
        <v>0</v>
      </c>
      <c r="E391" s="54">
        <f t="shared" si="114"/>
        <v>0</v>
      </c>
      <c r="F391" s="54">
        <f t="shared" si="114"/>
        <v>0</v>
      </c>
      <c r="G391" s="54">
        <f t="shared" si="114"/>
        <v>0</v>
      </c>
      <c r="H391" s="55">
        <f t="shared" si="114"/>
        <v>0</v>
      </c>
    </row>
    <row r="392" spans="1:8" ht="12">
      <c r="A392" s="78">
        <v>472501</v>
      </c>
      <c r="B392" s="80" t="s">
        <v>110</v>
      </c>
      <c r="C392" s="56">
        <v>0</v>
      </c>
      <c r="D392" s="56">
        <v>0</v>
      </c>
      <c r="E392" s="56">
        <v>0</v>
      </c>
      <c r="F392" s="27">
        <f>+C392+D392-E392</f>
        <v>0</v>
      </c>
      <c r="G392" s="56">
        <v>0</v>
      </c>
      <c r="H392" s="77">
        <f t="shared" si="111"/>
        <v>0</v>
      </c>
    </row>
    <row r="393" spans="1:8" ht="12">
      <c r="A393" s="78">
        <v>480000</v>
      </c>
      <c r="B393" s="79" t="s">
        <v>276</v>
      </c>
      <c r="C393" s="54">
        <f aca="true" t="shared" si="115" ref="C393:H393">C394+C401+C403+C414</f>
        <v>2822647</v>
      </c>
      <c r="D393" s="54">
        <f t="shared" si="115"/>
        <v>573257</v>
      </c>
      <c r="E393" s="54">
        <f t="shared" si="115"/>
        <v>126803955</v>
      </c>
      <c r="F393" s="54">
        <f t="shared" si="115"/>
        <v>129053345</v>
      </c>
      <c r="G393" s="54">
        <f t="shared" si="115"/>
        <v>0</v>
      </c>
      <c r="H393" s="55">
        <f t="shared" si="115"/>
        <v>129053345</v>
      </c>
    </row>
    <row r="394" spans="1:8" ht="12">
      <c r="A394" s="78">
        <v>480500</v>
      </c>
      <c r="B394" s="79" t="s">
        <v>277</v>
      </c>
      <c r="C394" s="54">
        <f aca="true" t="shared" si="116" ref="C394:H394">SUM(C395:C400)</f>
        <v>2625711</v>
      </c>
      <c r="D394" s="54">
        <f t="shared" si="116"/>
        <v>0</v>
      </c>
      <c r="E394" s="54">
        <f t="shared" si="116"/>
        <v>2760783</v>
      </c>
      <c r="F394" s="54">
        <f t="shared" si="116"/>
        <v>5386494</v>
      </c>
      <c r="G394" s="54">
        <f t="shared" si="116"/>
        <v>0</v>
      </c>
      <c r="H394" s="55">
        <f t="shared" si="116"/>
        <v>5386494</v>
      </c>
    </row>
    <row r="395" spans="1:8" ht="12">
      <c r="A395" s="78">
        <v>480504</v>
      </c>
      <c r="B395" s="80" t="s">
        <v>278</v>
      </c>
      <c r="C395" s="56">
        <v>0</v>
      </c>
      <c r="D395" s="56">
        <v>0</v>
      </c>
      <c r="E395" s="56">
        <f>2396-2396</f>
        <v>0</v>
      </c>
      <c r="F395" s="27">
        <f>C395-D395+E395</f>
        <v>0</v>
      </c>
      <c r="G395" s="56">
        <v>0</v>
      </c>
      <c r="H395" s="77">
        <f aca="true" t="shared" si="117" ref="H395:H421">+F395</f>
        <v>0</v>
      </c>
    </row>
    <row r="396" spans="1:8" ht="12">
      <c r="A396" s="78">
        <v>480512</v>
      </c>
      <c r="B396" s="80" t="s">
        <v>279</v>
      </c>
      <c r="C396" s="56">
        <v>0</v>
      </c>
      <c r="D396" s="56">
        <v>0</v>
      </c>
      <c r="E396" s="56">
        <v>0</v>
      </c>
      <c r="F396" s="27">
        <f>+C396+D396-E396</f>
        <v>0</v>
      </c>
      <c r="G396" s="56">
        <v>0</v>
      </c>
      <c r="H396" s="77">
        <f t="shared" si="117"/>
        <v>0</v>
      </c>
    </row>
    <row r="397" spans="1:8" ht="12">
      <c r="A397" s="78">
        <v>480522</v>
      </c>
      <c r="B397" s="80" t="s">
        <v>280</v>
      </c>
      <c r="C397" s="56">
        <v>0</v>
      </c>
      <c r="D397" s="56">
        <v>0</v>
      </c>
      <c r="E397" s="56">
        <f>906504-14565</f>
        <v>891939</v>
      </c>
      <c r="F397" s="27">
        <f>C397-D397+E397</f>
        <v>891939</v>
      </c>
      <c r="G397" s="56">
        <v>0</v>
      </c>
      <c r="H397" s="77">
        <f t="shared" si="117"/>
        <v>891939</v>
      </c>
    </row>
    <row r="398" spans="1:8" ht="12">
      <c r="A398" s="78">
        <v>480544</v>
      </c>
      <c r="B398" s="80" t="s">
        <v>281</v>
      </c>
      <c r="C398" s="56">
        <v>0</v>
      </c>
      <c r="D398" s="56">
        <v>0</v>
      </c>
      <c r="E398" s="56">
        <v>0</v>
      </c>
      <c r="F398" s="27">
        <f>+C398+D398-E398</f>
        <v>0</v>
      </c>
      <c r="G398" s="56">
        <v>0</v>
      </c>
      <c r="H398" s="77">
        <f t="shared" si="117"/>
        <v>0</v>
      </c>
    </row>
    <row r="399" spans="1:8" ht="12">
      <c r="A399" s="78">
        <v>480545</v>
      </c>
      <c r="B399" s="80" t="s">
        <v>282</v>
      </c>
      <c r="C399" s="56">
        <v>2625711</v>
      </c>
      <c r="D399" s="56">
        <v>0</v>
      </c>
      <c r="E399" s="56">
        <v>1868844</v>
      </c>
      <c r="F399" s="27">
        <f>C399-D399+E399</f>
        <v>4494555</v>
      </c>
      <c r="G399" s="56">
        <v>0</v>
      </c>
      <c r="H399" s="77">
        <f t="shared" si="117"/>
        <v>4494555</v>
      </c>
    </row>
    <row r="400" spans="1:8" ht="12">
      <c r="A400" s="78">
        <v>480590</v>
      </c>
      <c r="B400" s="80" t="s">
        <v>283</v>
      </c>
      <c r="C400" s="56">
        <v>0</v>
      </c>
      <c r="D400" s="56">
        <v>0</v>
      </c>
      <c r="E400" s="56">
        <v>0</v>
      </c>
      <c r="F400" s="27">
        <f>+C400+D400-E400</f>
        <v>0</v>
      </c>
      <c r="G400" s="56">
        <v>0</v>
      </c>
      <c r="H400" s="77">
        <f t="shared" si="117"/>
        <v>0</v>
      </c>
    </row>
    <row r="401" spans="1:8" ht="22.5">
      <c r="A401" s="78">
        <v>480700</v>
      </c>
      <c r="B401" s="79" t="s">
        <v>284</v>
      </c>
      <c r="C401" s="54">
        <f aca="true" t="shared" si="118" ref="C401:H401">SUM(C402)</f>
        <v>0</v>
      </c>
      <c r="D401" s="54">
        <f t="shared" si="118"/>
        <v>0</v>
      </c>
      <c r="E401" s="54">
        <f t="shared" si="118"/>
        <v>0</v>
      </c>
      <c r="F401" s="54">
        <f t="shared" si="118"/>
        <v>0</v>
      </c>
      <c r="G401" s="54">
        <f t="shared" si="118"/>
        <v>0</v>
      </c>
      <c r="H401" s="55">
        <f t="shared" si="118"/>
        <v>0</v>
      </c>
    </row>
    <row r="402" spans="1:8" ht="12">
      <c r="A402" s="78">
        <v>480725</v>
      </c>
      <c r="B402" s="80" t="s">
        <v>285</v>
      </c>
      <c r="C402" s="56">
        <v>0</v>
      </c>
      <c r="D402" s="56">
        <v>0</v>
      </c>
      <c r="E402" s="56">
        <v>0</v>
      </c>
      <c r="F402" s="27">
        <f>+C402+D402-E402</f>
        <v>0</v>
      </c>
      <c r="G402" s="56">
        <v>0</v>
      </c>
      <c r="H402" s="77">
        <f t="shared" si="117"/>
        <v>0</v>
      </c>
    </row>
    <row r="403" spans="1:8" ht="12">
      <c r="A403" s="78">
        <v>481000</v>
      </c>
      <c r="B403" s="79" t="s">
        <v>286</v>
      </c>
      <c r="C403" s="54">
        <f aca="true" t="shared" si="119" ref="C403:H403">SUM(C404:C413)</f>
        <v>153364</v>
      </c>
      <c r="D403" s="54">
        <f t="shared" si="119"/>
        <v>15081</v>
      </c>
      <c r="E403" s="54">
        <f t="shared" si="119"/>
        <v>360940</v>
      </c>
      <c r="F403" s="54">
        <f t="shared" si="119"/>
        <v>499223</v>
      </c>
      <c r="G403" s="54">
        <f t="shared" si="119"/>
        <v>0</v>
      </c>
      <c r="H403" s="55">
        <f t="shared" si="119"/>
        <v>499223</v>
      </c>
    </row>
    <row r="404" spans="1:8" ht="12">
      <c r="A404" s="78">
        <v>481001</v>
      </c>
      <c r="B404" s="80" t="s">
        <v>287</v>
      </c>
      <c r="C404" s="56">
        <v>0</v>
      </c>
      <c r="D404" s="56">
        <v>0</v>
      </c>
      <c r="E404" s="56">
        <v>0</v>
      </c>
      <c r="F404" s="27">
        <f>+C404+D404-E404</f>
        <v>0</v>
      </c>
      <c r="G404" s="56">
        <v>0</v>
      </c>
      <c r="H404" s="77">
        <f t="shared" si="117"/>
        <v>0</v>
      </c>
    </row>
    <row r="405" spans="1:8" ht="12">
      <c r="A405" s="78">
        <v>481006</v>
      </c>
      <c r="B405" s="80" t="s">
        <v>0</v>
      </c>
      <c r="C405" s="56">
        <v>35153</v>
      </c>
      <c r="D405" s="56">
        <v>8759</v>
      </c>
      <c r="E405" s="56">
        <v>56032</v>
      </c>
      <c r="F405" s="27">
        <f>C405-D405+E405</f>
        <v>82426</v>
      </c>
      <c r="G405" s="56">
        <v>0</v>
      </c>
      <c r="H405" s="77">
        <f t="shared" si="117"/>
        <v>82426</v>
      </c>
    </row>
    <row r="406" spans="1:8" ht="12">
      <c r="A406" s="78">
        <v>481007</v>
      </c>
      <c r="B406" s="80" t="s">
        <v>288</v>
      </c>
      <c r="C406" s="56">
        <v>0</v>
      </c>
      <c r="D406" s="56">
        <v>0</v>
      </c>
      <c r="E406" s="56">
        <v>0</v>
      </c>
      <c r="F406" s="27">
        <f>+C406+D406-E406</f>
        <v>0</v>
      </c>
      <c r="G406" s="56">
        <v>0</v>
      </c>
      <c r="H406" s="77">
        <f t="shared" si="117"/>
        <v>0</v>
      </c>
    </row>
    <row r="407" spans="1:8" ht="12">
      <c r="A407" s="78">
        <v>481008</v>
      </c>
      <c r="B407" s="80" t="s">
        <v>289</v>
      </c>
      <c r="C407" s="56">
        <v>0</v>
      </c>
      <c r="D407" s="56">
        <v>0</v>
      </c>
      <c r="E407" s="56">
        <f>56711-46854</f>
        <v>9857</v>
      </c>
      <c r="F407" s="27">
        <f>C407-D407+E407</f>
        <v>9857</v>
      </c>
      <c r="G407" s="56">
        <v>0</v>
      </c>
      <c r="H407" s="77">
        <f t="shared" si="117"/>
        <v>9857</v>
      </c>
    </row>
    <row r="408" spans="1:8" ht="12">
      <c r="A408" s="78">
        <v>481017</v>
      </c>
      <c r="B408" s="80" t="s">
        <v>290</v>
      </c>
      <c r="C408" s="56">
        <v>0</v>
      </c>
      <c r="D408" s="56">
        <v>0</v>
      </c>
      <c r="E408" s="56">
        <v>0</v>
      </c>
      <c r="F408" s="27">
        <f aca="true" t="shared" si="120" ref="F408:F471">+C408+D408-E408</f>
        <v>0</v>
      </c>
      <c r="G408" s="56">
        <v>0</v>
      </c>
      <c r="H408" s="77">
        <f t="shared" si="117"/>
        <v>0</v>
      </c>
    </row>
    <row r="409" spans="1:8" ht="12">
      <c r="A409" s="78">
        <v>481018</v>
      </c>
      <c r="B409" s="80" t="s">
        <v>70</v>
      </c>
      <c r="C409" s="56">
        <v>3767</v>
      </c>
      <c r="D409" s="56">
        <v>6322</v>
      </c>
      <c r="E409" s="56">
        <f>2697682-2691296</f>
        <v>6386</v>
      </c>
      <c r="F409" s="27">
        <f>C409-D409+E409</f>
        <v>3831</v>
      </c>
      <c r="G409" s="56">
        <v>0</v>
      </c>
      <c r="H409" s="77">
        <f t="shared" si="117"/>
        <v>3831</v>
      </c>
    </row>
    <row r="410" spans="1:8" ht="12">
      <c r="A410" s="78">
        <v>481022</v>
      </c>
      <c r="B410" s="80" t="s">
        <v>291</v>
      </c>
      <c r="C410" s="56">
        <v>0</v>
      </c>
      <c r="D410" s="56">
        <v>0</v>
      </c>
      <c r="E410" s="56">
        <v>18056</v>
      </c>
      <c r="F410" s="27">
        <f>C410-D410+E410</f>
        <v>18056</v>
      </c>
      <c r="G410" s="56">
        <v>0</v>
      </c>
      <c r="H410" s="77">
        <f t="shared" si="117"/>
        <v>18056</v>
      </c>
    </row>
    <row r="411" spans="1:8" ht="12">
      <c r="A411" s="78">
        <v>481023</v>
      </c>
      <c r="B411" s="80" t="s">
        <v>292</v>
      </c>
      <c r="C411" s="56">
        <v>26170</v>
      </c>
      <c r="D411" s="56">
        <v>0</v>
      </c>
      <c r="E411" s="56">
        <v>267655</v>
      </c>
      <c r="F411" s="27">
        <f>C411-D411+E411</f>
        <v>293825</v>
      </c>
      <c r="G411" s="56">
        <v>0</v>
      </c>
      <c r="H411" s="77">
        <f t="shared" si="117"/>
        <v>293825</v>
      </c>
    </row>
    <row r="412" spans="1:8" ht="12">
      <c r="A412" s="78">
        <v>481037</v>
      </c>
      <c r="B412" s="80" t="s">
        <v>293</v>
      </c>
      <c r="C412" s="56">
        <v>88274</v>
      </c>
      <c r="D412" s="56">
        <v>0</v>
      </c>
      <c r="E412" s="56">
        <v>2954</v>
      </c>
      <c r="F412" s="27">
        <f>C412-D412+E412</f>
        <v>91228</v>
      </c>
      <c r="G412" s="56">
        <v>0</v>
      </c>
      <c r="H412" s="77">
        <f t="shared" si="117"/>
        <v>91228</v>
      </c>
    </row>
    <row r="413" spans="1:8" ht="12">
      <c r="A413" s="78">
        <v>481090</v>
      </c>
      <c r="B413" s="80" t="s">
        <v>294</v>
      </c>
      <c r="C413" s="56">
        <v>0</v>
      </c>
      <c r="D413" s="56">
        <v>0</v>
      </c>
      <c r="E413" s="56">
        <v>0</v>
      </c>
      <c r="F413" s="27">
        <f t="shared" si="120"/>
        <v>0</v>
      </c>
      <c r="G413" s="56">
        <v>0</v>
      </c>
      <c r="H413" s="77">
        <f t="shared" si="117"/>
        <v>0</v>
      </c>
    </row>
    <row r="414" spans="1:8" ht="12">
      <c r="A414" s="78">
        <v>481500</v>
      </c>
      <c r="B414" s="79" t="s">
        <v>295</v>
      </c>
      <c r="C414" s="54">
        <f aca="true" t="shared" si="121" ref="C414:H414">SUM(C415:C421)</f>
        <v>43572</v>
      </c>
      <c r="D414" s="54">
        <f t="shared" si="121"/>
        <v>558176</v>
      </c>
      <c r="E414" s="54">
        <f t="shared" si="121"/>
        <v>123682232</v>
      </c>
      <c r="F414" s="54">
        <f t="shared" si="121"/>
        <v>123167628</v>
      </c>
      <c r="G414" s="54">
        <f t="shared" si="121"/>
        <v>0</v>
      </c>
      <c r="H414" s="55">
        <f t="shared" si="121"/>
        <v>123167628</v>
      </c>
    </row>
    <row r="415" spans="1:8" ht="12">
      <c r="A415" s="78">
        <v>481507</v>
      </c>
      <c r="B415" s="80" t="s">
        <v>296</v>
      </c>
      <c r="C415" s="56">
        <v>0</v>
      </c>
      <c r="D415" s="56">
        <v>0</v>
      </c>
      <c r="E415" s="56">
        <v>0</v>
      </c>
      <c r="F415" s="27">
        <f t="shared" si="120"/>
        <v>0</v>
      </c>
      <c r="G415" s="56">
        <v>0</v>
      </c>
      <c r="H415" s="77">
        <f t="shared" si="117"/>
        <v>0</v>
      </c>
    </row>
    <row r="416" spans="1:8" ht="12">
      <c r="A416" s="78">
        <v>481509</v>
      </c>
      <c r="B416" s="80" t="s">
        <v>7</v>
      </c>
      <c r="C416" s="56">
        <v>0</v>
      </c>
      <c r="D416" s="56">
        <v>0</v>
      </c>
      <c r="E416" s="56">
        <v>0</v>
      </c>
      <c r="F416" s="27">
        <f t="shared" si="120"/>
        <v>0</v>
      </c>
      <c r="G416" s="56">
        <v>0</v>
      </c>
      <c r="H416" s="77">
        <f t="shared" si="117"/>
        <v>0</v>
      </c>
    </row>
    <row r="417" spans="1:8" ht="12">
      <c r="A417" s="78">
        <v>481510</v>
      </c>
      <c r="B417" s="80" t="s">
        <v>250</v>
      </c>
      <c r="C417" s="56">
        <v>0</v>
      </c>
      <c r="D417" s="56">
        <v>0</v>
      </c>
      <c r="E417" s="56">
        <v>0</v>
      </c>
      <c r="F417" s="27">
        <f t="shared" si="120"/>
        <v>0</v>
      </c>
      <c r="G417" s="56">
        <v>0</v>
      </c>
      <c r="H417" s="77">
        <f t="shared" si="117"/>
        <v>0</v>
      </c>
    </row>
    <row r="418" spans="1:8" ht="12">
      <c r="A418" s="78">
        <v>481517</v>
      </c>
      <c r="B418" s="80" t="s">
        <v>2811</v>
      </c>
      <c r="C418" s="56">
        <v>42829</v>
      </c>
      <c r="D418" s="56">
        <v>0</v>
      </c>
      <c r="E418" s="56">
        <v>0</v>
      </c>
      <c r="F418" s="27">
        <f>C418-D418+E418</f>
        <v>42829</v>
      </c>
      <c r="G418" s="56">
        <v>0</v>
      </c>
      <c r="H418" s="77">
        <f t="shared" si="117"/>
        <v>42829</v>
      </c>
    </row>
    <row r="419" spans="1:8" ht="12">
      <c r="A419" s="78">
        <v>481537</v>
      </c>
      <c r="B419" s="80" t="s">
        <v>297</v>
      </c>
      <c r="C419" s="56">
        <v>0</v>
      </c>
      <c r="D419" s="56">
        <v>0</v>
      </c>
      <c r="E419" s="56">
        <v>0</v>
      </c>
      <c r="F419" s="27">
        <f t="shared" si="120"/>
        <v>0</v>
      </c>
      <c r="G419" s="56">
        <v>0</v>
      </c>
      <c r="H419" s="77">
        <f t="shared" si="117"/>
        <v>0</v>
      </c>
    </row>
    <row r="420" spans="1:8" ht="12">
      <c r="A420" s="78">
        <v>481538</v>
      </c>
      <c r="B420" s="80" t="s">
        <v>298</v>
      </c>
      <c r="C420" s="56">
        <v>743</v>
      </c>
      <c r="D420" s="56">
        <v>558176</v>
      </c>
      <c r="E420" s="56">
        <v>123682232</v>
      </c>
      <c r="F420" s="27">
        <f>C420-D420+E420</f>
        <v>123124799</v>
      </c>
      <c r="G420" s="56">
        <v>0</v>
      </c>
      <c r="H420" s="77">
        <f t="shared" si="117"/>
        <v>123124799</v>
      </c>
    </row>
    <row r="421" spans="1:8" ht="12">
      <c r="A421" s="78">
        <v>481539</v>
      </c>
      <c r="B421" s="80" t="s">
        <v>299</v>
      </c>
      <c r="C421" s="56">
        <v>0</v>
      </c>
      <c r="D421" s="56">
        <v>0</v>
      </c>
      <c r="E421" s="56">
        <v>0</v>
      </c>
      <c r="F421" s="27">
        <f t="shared" si="120"/>
        <v>0</v>
      </c>
      <c r="G421" s="56">
        <v>0</v>
      </c>
      <c r="H421" s="77">
        <f t="shared" si="117"/>
        <v>0</v>
      </c>
    </row>
    <row r="422" spans="1:8" ht="12">
      <c r="A422" s="78">
        <v>500000</v>
      </c>
      <c r="B422" s="79" t="s">
        <v>300</v>
      </c>
      <c r="C422" s="54">
        <f aca="true" t="shared" si="122" ref="C422:H422">C423+C514+C538+C587+C592+C601+C615+C645</f>
        <v>4521535297</v>
      </c>
      <c r="D422" s="54">
        <f t="shared" si="122"/>
        <v>3482806130</v>
      </c>
      <c r="E422" s="54">
        <f t="shared" si="122"/>
        <v>2155110520</v>
      </c>
      <c r="F422" s="54">
        <f t="shared" si="122"/>
        <v>5849230907</v>
      </c>
      <c r="G422" s="54">
        <f t="shared" si="122"/>
        <v>0</v>
      </c>
      <c r="H422" s="55">
        <f t="shared" si="122"/>
        <v>5849230907</v>
      </c>
    </row>
    <row r="423" spans="1:8" ht="12">
      <c r="A423" s="78">
        <v>510000</v>
      </c>
      <c r="B423" s="79" t="s">
        <v>301</v>
      </c>
      <c r="C423" s="54">
        <f aca="true" t="shared" si="123" ref="C423:H423">C424+C452+C457+C465+C470+C503</f>
        <v>37958131</v>
      </c>
      <c r="D423" s="54">
        <f t="shared" si="123"/>
        <v>7491052</v>
      </c>
      <c r="E423" s="54">
        <f t="shared" si="123"/>
        <v>486603</v>
      </c>
      <c r="F423" s="54">
        <f t="shared" si="123"/>
        <v>44962580</v>
      </c>
      <c r="G423" s="54">
        <f t="shared" si="123"/>
        <v>0</v>
      </c>
      <c r="H423" s="55">
        <f t="shared" si="123"/>
        <v>44962580</v>
      </c>
    </row>
    <row r="424" spans="1:8" ht="12">
      <c r="A424" s="78">
        <v>510100</v>
      </c>
      <c r="B424" s="79" t="s">
        <v>302</v>
      </c>
      <c r="C424" s="54">
        <f aca="true" t="shared" si="124" ref="C424:H424">SUM(C425:C451)</f>
        <v>3049232</v>
      </c>
      <c r="D424" s="54">
        <f t="shared" si="124"/>
        <v>3903489</v>
      </c>
      <c r="E424" s="54">
        <f t="shared" si="124"/>
        <v>1343</v>
      </c>
      <c r="F424" s="54">
        <f t="shared" si="124"/>
        <v>6951378</v>
      </c>
      <c r="G424" s="54">
        <f t="shared" si="124"/>
        <v>0</v>
      </c>
      <c r="H424" s="55">
        <f t="shared" si="124"/>
        <v>6951378</v>
      </c>
    </row>
    <row r="425" spans="1:8" ht="12">
      <c r="A425" s="78">
        <v>510101</v>
      </c>
      <c r="B425" s="80" t="s">
        <v>303</v>
      </c>
      <c r="C425" s="56">
        <v>1818180</v>
      </c>
      <c r="D425" s="56">
        <f>2117656-187825</f>
        <v>1929831</v>
      </c>
      <c r="E425" s="56">
        <v>1343</v>
      </c>
      <c r="F425" s="27">
        <f t="shared" si="120"/>
        <v>3746668</v>
      </c>
      <c r="G425" s="56">
        <v>0</v>
      </c>
      <c r="H425" s="77">
        <f aca="true" t="shared" si="125" ref="H425:H488">+F425</f>
        <v>3746668</v>
      </c>
    </row>
    <row r="426" spans="1:8" ht="12">
      <c r="A426" s="78">
        <v>510102</v>
      </c>
      <c r="B426" s="80" t="s">
        <v>304</v>
      </c>
      <c r="C426" s="56">
        <v>0</v>
      </c>
      <c r="D426" s="56">
        <v>0</v>
      </c>
      <c r="E426" s="56">
        <v>0</v>
      </c>
      <c r="F426" s="27">
        <f t="shared" si="120"/>
        <v>0</v>
      </c>
      <c r="G426" s="56">
        <v>0</v>
      </c>
      <c r="H426" s="77">
        <f t="shared" si="125"/>
        <v>0</v>
      </c>
    </row>
    <row r="427" spans="1:8" ht="12">
      <c r="A427" s="78">
        <v>510103</v>
      </c>
      <c r="B427" s="80" t="s">
        <v>305</v>
      </c>
      <c r="C427" s="56">
        <v>14490</v>
      </c>
      <c r="D427" s="56">
        <f>30813-1147</f>
        <v>29666</v>
      </c>
      <c r="E427" s="56">
        <v>0</v>
      </c>
      <c r="F427" s="27">
        <f t="shared" si="120"/>
        <v>44156</v>
      </c>
      <c r="G427" s="56">
        <v>0</v>
      </c>
      <c r="H427" s="77">
        <f t="shared" si="125"/>
        <v>44156</v>
      </c>
    </row>
    <row r="428" spans="1:8" ht="12">
      <c r="A428" s="78">
        <v>510105</v>
      </c>
      <c r="B428" s="80" t="s">
        <v>306</v>
      </c>
      <c r="C428" s="56">
        <v>33529</v>
      </c>
      <c r="D428" s="56">
        <f>41964-6512</f>
        <v>35452</v>
      </c>
      <c r="E428" s="56">
        <v>0</v>
      </c>
      <c r="F428" s="27">
        <f t="shared" si="120"/>
        <v>68981</v>
      </c>
      <c r="G428" s="56">
        <v>0</v>
      </c>
      <c r="H428" s="77">
        <f t="shared" si="125"/>
        <v>68981</v>
      </c>
    </row>
    <row r="429" spans="1:8" ht="12">
      <c r="A429" s="78">
        <v>510106</v>
      </c>
      <c r="B429" s="80" t="s">
        <v>307</v>
      </c>
      <c r="C429" s="56">
        <v>66201</v>
      </c>
      <c r="D429" s="56">
        <v>143165</v>
      </c>
      <c r="E429" s="56">
        <v>0</v>
      </c>
      <c r="F429" s="27">
        <f t="shared" si="120"/>
        <v>209366</v>
      </c>
      <c r="G429" s="56">
        <v>0</v>
      </c>
      <c r="H429" s="77">
        <f t="shared" si="125"/>
        <v>209366</v>
      </c>
    </row>
    <row r="430" spans="1:8" ht="12">
      <c r="A430" s="78">
        <v>510107</v>
      </c>
      <c r="B430" s="80" t="s">
        <v>308</v>
      </c>
      <c r="C430" s="56">
        <v>0</v>
      </c>
      <c r="D430" s="56">
        <v>0</v>
      </c>
      <c r="E430" s="56">
        <v>0</v>
      </c>
      <c r="F430" s="27">
        <f t="shared" si="120"/>
        <v>0</v>
      </c>
      <c r="G430" s="56">
        <v>0</v>
      </c>
      <c r="H430" s="77">
        <f t="shared" si="125"/>
        <v>0</v>
      </c>
    </row>
    <row r="431" spans="1:8" ht="12">
      <c r="A431" s="78">
        <v>510109</v>
      </c>
      <c r="B431" s="80" t="s">
        <v>168</v>
      </c>
      <c r="C431" s="56">
        <v>50060</v>
      </c>
      <c r="D431" s="56">
        <v>483251</v>
      </c>
      <c r="E431" s="56">
        <v>0</v>
      </c>
      <c r="F431" s="27">
        <f t="shared" si="120"/>
        <v>533311</v>
      </c>
      <c r="G431" s="56">
        <v>0</v>
      </c>
      <c r="H431" s="77">
        <f t="shared" si="125"/>
        <v>533311</v>
      </c>
    </row>
    <row r="432" spans="1:8" ht="12">
      <c r="A432" s="78">
        <v>510110</v>
      </c>
      <c r="B432" s="80" t="s">
        <v>309</v>
      </c>
      <c r="C432" s="56">
        <v>388584</v>
      </c>
      <c r="D432" s="56">
        <f>411356-21458</f>
        <v>389898</v>
      </c>
      <c r="E432" s="56">
        <v>0</v>
      </c>
      <c r="F432" s="27">
        <f t="shared" si="120"/>
        <v>778482</v>
      </c>
      <c r="G432" s="56">
        <v>0</v>
      </c>
      <c r="H432" s="77">
        <f t="shared" si="125"/>
        <v>778482</v>
      </c>
    </row>
    <row r="433" spans="1:8" ht="12">
      <c r="A433" s="78">
        <v>510111</v>
      </c>
      <c r="B433" s="80" t="s">
        <v>310</v>
      </c>
      <c r="C433" s="56">
        <v>6402</v>
      </c>
      <c r="D433" s="56">
        <v>7114</v>
      </c>
      <c r="E433" s="56">
        <v>0</v>
      </c>
      <c r="F433" s="27">
        <f t="shared" si="120"/>
        <v>13516</v>
      </c>
      <c r="G433" s="56">
        <v>0</v>
      </c>
      <c r="H433" s="77">
        <f t="shared" si="125"/>
        <v>13516</v>
      </c>
    </row>
    <row r="434" spans="1:8" ht="12">
      <c r="A434" s="78">
        <v>510112</v>
      </c>
      <c r="B434" s="80" t="s">
        <v>311</v>
      </c>
      <c r="C434" s="56">
        <v>0</v>
      </c>
      <c r="D434" s="56">
        <v>0</v>
      </c>
      <c r="E434" s="56">
        <v>0</v>
      </c>
      <c r="F434" s="27">
        <f t="shared" si="120"/>
        <v>0</v>
      </c>
      <c r="G434" s="56">
        <v>0</v>
      </c>
      <c r="H434" s="77">
        <f t="shared" si="125"/>
        <v>0</v>
      </c>
    </row>
    <row r="435" spans="1:8" ht="12">
      <c r="A435" s="78">
        <v>510113</v>
      </c>
      <c r="B435" s="80" t="s">
        <v>312</v>
      </c>
      <c r="C435" s="56">
        <v>83156</v>
      </c>
      <c r="D435" s="56">
        <f>98842-10495</f>
        <v>88347</v>
      </c>
      <c r="E435" s="56">
        <v>0</v>
      </c>
      <c r="F435" s="27">
        <f t="shared" si="120"/>
        <v>171503</v>
      </c>
      <c r="G435" s="56">
        <v>0</v>
      </c>
      <c r="H435" s="77">
        <f t="shared" si="125"/>
        <v>171503</v>
      </c>
    </row>
    <row r="436" spans="1:8" ht="12">
      <c r="A436" s="78">
        <v>510114</v>
      </c>
      <c r="B436" s="80" t="s">
        <v>313</v>
      </c>
      <c r="C436" s="56">
        <v>159606</v>
      </c>
      <c r="D436" s="56">
        <f>186096-16526</f>
        <v>169570</v>
      </c>
      <c r="E436" s="56">
        <v>0</v>
      </c>
      <c r="F436" s="27">
        <f t="shared" si="120"/>
        <v>329176</v>
      </c>
      <c r="G436" s="56">
        <v>0</v>
      </c>
      <c r="H436" s="77">
        <f t="shared" si="125"/>
        <v>329176</v>
      </c>
    </row>
    <row r="437" spans="1:8" ht="12">
      <c r="A437" s="78">
        <v>510116</v>
      </c>
      <c r="B437" s="80" t="s">
        <v>314</v>
      </c>
      <c r="C437" s="56">
        <v>1778</v>
      </c>
      <c r="D437" s="56">
        <v>2053</v>
      </c>
      <c r="E437" s="56">
        <v>0</v>
      </c>
      <c r="F437" s="27">
        <f t="shared" si="120"/>
        <v>3831</v>
      </c>
      <c r="G437" s="56">
        <v>0</v>
      </c>
      <c r="H437" s="77">
        <f t="shared" si="125"/>
        <v>3831</v>
      </c>
    </row>
    <row r="438" spans="1:8" ht="12">
      <c r="A438" s="78">
        <v>510117</v>
      </c>
      <c r="B438" s="80" t="s">
        <v>191</v>
      </c>
      <c r="C438" s="56">
        <v>0</v>
      </c>
      <c r="D438" s="56">
        <f>10015-10015</f>
        <v>0</v>
      </c>
      <c r="E438" s="56">
        <v>0</v>
      </c>
      <c r="F438" s="27">
        <f t="shared" si="120"/>
        <v>0</v>
      </c>
      <c r="G438" s="56">
        <v>0</v>
      </c>
      <c r="H438" s="77">
        <f t="shared" si="125"/>
        <v>0</v>
      </c>
    </row>
    <row r="439" spans="1:8" ht="12">
      <c r="A439" s="78">
        <v>510118</v>
      </c>
      <c r="B439" s="80" t="s">
        <v>315</v>
      </c>
      <c r="C439" s="56">
        <v>0</v>
      </c>
      <c r="D439" s="56">
        <f>1104-1104</f>
        <v>0</v>
      </c>
      <c r="E439" s="56">
        <v>0</v>
      </c>
      <c r="F439" s="27">
        <f t="shared" si="120"/>
        <v>0</v>
      </c>
      <c r="G439" s="56">
        <v>0</v>
      </c>
      <c r="H439" s="77">
        <f t="shared" si="125"/>
        <v>0</v>
      </c>
    </row>
    <row r="440" spans="1:8" ht="12">
      <c r="A440" s="78">
        <v>510119</v>
      </c>
      <c r="B440" s="64" t="s">
        <v>195</v>
      </c>
      <c r="C440" s="56">
        <v>145619</v>
      </c>
      <c r="D440" s="56">
        <v>237670</v>
      </c>
      <c r="E440" s="56">
        <v>0</v>
      </c>
      <c r="F440" s="27">
        <f t="shared" si="120"/>
        <v>383289</v>
      </c>
      <c r="G440" s="56">
        <v>0</v>
      </c>
      <c r="H440" s="77">
        <f t="shared" si="125"/>
        <v>383289</v>
      </c>
    </row>
    <row r="441" spans="1:8" ht="12">
      <c r="A441" s="78">
        <v>510121</v>
      </c>
      <c r="B441" s="80" t="s">
        <v>316</v>
      </c>
      <c r="C441" s="56">
        <v>0</v>
      </c>
      <c r="D441" s="56">
        <v>0</v>
      </c>
      <c r="E441" s="56">
        <v>0</v>
      </c>
      <c r="F441" s="27">
        <f t="shared" si="120"/>
        <v>0</v>
      </c>
      <c r="G441" s="56">
        <v>0</v>
      </c>
      <c r="H441" s="77">
        <f t="shared" si="125"/>
        <v>0</v>
      </c>
    </row>
    <row r="442" spans="1:8" ht="12">
      <c r="A442" s="78">
        <v>510123</v>
      </c>
      <c r="B442" s="80" t="s">
        <v>317</v>
      </c>
      <c r="C442" s="56">
        <v>2069</v>
      </c>
      <c r="D442" s="56">
        <f>3727-2156</f>
        <v>1571</v>
      </c>
      <c r="E442" s="56">
        <v>0</v>
      </c>
      <c r="F442" s="27">
        <f t="shared" si="120"/>
        <v>3640</v>
      </c>
      <c r="G442" s="56">
        <v>0</v>
      </c>
      <c r="H442" s="77">
        <f t="shared" si="125"/>
        <v>3640</v>
      </c>
    </row>
    <row r="443" spans="1:8" ht="12">
      <c r="A443" s="78">
        <v>510124</v>
      </c>
      <c r="B443" s="80" t="s">
        <v>190</v>
      </c>
      <c r="C443" s="56">
        <v>181108</v>
      </c>
      <c r="D443" s="56">
        <f>228870-22212</f>
        <v>206658</v>
      </c>
      <c r="E443" s="56">
        <v>0</v>
      </c>
      <c r="F443" s="27">
        <f t="shared" si="120"/>
        <v>387766</v>
      </c>
      <c r="G443" s="56">
        <v>0</v>
      </c>
      <c r="H443" s="77">
        <f t="shared" si="125"/>
        <v>387766</v>
      </c>
    </row>
    <row r="444" spans="1:8" ht="12">
      <c r="A444" s="78">
        <v>510130</v>
      </c>
      <c r="B444" s="80" t="s">
        <v>318</v>
      </c>
      <c r="C444" s="56">
        <v>9701</v>
      </c>
      <c r="D444" s="56">
        <f>83024-1100</f>
        <v>81924</v>
      </c>
      <c r="E444" s="56">
        <v>0</v>
      </c>
      <c r="F444" s="27">
        <f t="shared" si="120"/>
        <v>91625</v>
      </c>
      <c r="G444" s="56">
        <v>0</v>
      </c>
      <c r="H444" s="77">
        <f t="shared" si="125"/>
        <v>91625</v>
      </c>
    </row>
    <row r="445" spans="1:8" ht="12">
      <c r="A445" s="78">
        <v>510131</v>
      </c>
      <c r="B445" s="80" t="s">
        <v>319</v>
      </c>
      <c r="C445" s="56">
        <v>0</v>
      </c>
      <c r="D445" s="56">
        <v>2179</v>
      </c>
      <c r="E445" s="56">
        <v>0</v>
      </c>
      <c r="F445" s="27">
        <f t="shared" si="120"/>
        <v>2179</v>
      </c>
      <c r="G445" s="56">
        <v>0</v>
      </c>
      <c r="H445" s="77">
        <f t="shared" si="125"/>
        <v>2179</v>
      </c>
    </row>
    <row r="446" spans="1:8" ht="12">
      <c r="A446" s="78">
        <v>510133</v>
      </c>
      <c r="B446" s="80" t="s">
        <v>320</v>
      </c>
      <c r="C446" s="56">
        <v>0</v>
      </c>
      <c r="D446" s="56">
        <v>0</v>
      </c>
      <c r="E446" s="56">
        <v>0</v>
      </c>
      <c r="F446" s="27">
        <f t="shared" si="120"/>
        <v>0</v>
      </c>
      <c r="G446" s="56">
        <v>0</v>
      </c>
      <c r="H446" s="77">
        <f t="shared" si="125"/>
        <v>0</v>
      </c>
    </row>
    <row r="447" spans="1:8" ht="12">
      <c r="A447" s="78">
        <v>510150</v>
      </c>
      <c r="B447" s="80" t="s">
        <v>321</v>
      </c>
      <c r="C447" s="56">
        <v>0</v>
      </c>
      <c r="D447" s="56">
        <f>6191-6191</f>
        <v>0</v>
      </c>
      <c r="E447" s="56">
        <v>0</v>
      </c>
      <c r="F447" s="27">
        <f t="shared" si="120"/>
        <v>0</v>
      </c>
      <c r="G447" s="56">
        <v>0</v>
      </c>
      <c r="H447" s="77">
        <f t="shared" si="125"/>
        <v>0</v>
      </c>
    </row>
    <row r="448" spans="1:8" ht="12">
      <c r="A448" s="78">
        <v>510152</v>
      </c>
      <c r="B448" s="80" t="s">
        <v>322</v>
      </c>
      <c r="C448" s="56">
        <v>79899</v>
      </c>
      <c r="D448" s="56">
        <f>102298-17411</f>
        <v>84887</v>
      </c>
      <c r="E448" s="56">
        <v>0</v>
      </c>
      <c r="F448" s="27">
        <f t="shared" si="120"/>
        <v>164786</v>
      </c>
      <c r="G448" s="56">
        <v>0</v>
      </c>
      <c r="H448" s="77">
        <f t="shared" si="125"/>
        <v>164786</v>
      </c>
    </row>
    <row r="449" spans="1:8" ht="12">
      <c r="A449" s="78">
        <v>510156</v>
      </c>
      <c r="B449" s="80" t="s">
        <v>323</v>
      </c>
      <c r="C449" s="56">
        <v>5058</v>
      </c>
      <c r="D449" s="56">
        <f>21125-14727</f>
        <v>6398</v>
      </c>
      <c r="E449" s="56">
        <v>0</v>
      </c>
      <c r="F449" s="27">
        <f t="shared" si="120"/>
        <v>11456</v>
      </c>
      <c r="G449" s="56">
        <v>0</v>
      </c>
      <c r="H449" s="77">
        <f t="shared" si="125"/>
        <v>11456</v>
      </c>
    </row>
    <row r="450" spans="1:8" ht="12">
      <c r="A450" s="78">
        <v>510160</v>
      </c>
      <c r="B450" s="80" t="s">
        <v>324</v>
      </c>
      <c r="C450" s="56">
        <v>3792</v>
      </c>
      <c r="D450" s="56">
        <f>5574-1719</f>
        <v>3855</v>
      </c>
      <c r="E450" s="56">
        <v>0</v>
      </c>
      <c r="F450" s="27">
        <f t="shared" si="120"/>
        <v>7647</v>
      </c>
      <c r="G450" s="56">
        <v>0</v>
      </c>
      <c r="H450" s="77">
        <f t="shared" si="125"/>
        <v>7647</v>
      </c>
    </row>
    <row r="451" spans="1:8" ht="12">
      <c r="A451" s="78">
        <v>510190</v>
      </c>
      <c r="B451" s="80" t="s">
        <v>325</v>
      </c>
      <c r="C451" s="56">
        <v>0</v>
      </c>
      <c r="D451" s="56">
        <v>0</v>
      </c>
      <c r="E451" s="56">
        <v>0</v>
      </c>
      <c r="F451" s="27">
        <f t="shared" si="120"/>
        <v>0</v>
      </c>
      <c r="G451" s="56">
        <v>0</v>
      </c>
      <c r="H451" s="77">
        <f t="shared" si="125"/>
        <v>0</v>
      </c>
    </row>
    <row r="452" spans="1:8" ht="12">
      <c r="A452" s="78">
        <v>510200</v>
      </c>
      <c r="B452" s="79" t="s">
        <v>326</v>
      </c>
      <c r="C452" s="54">
        <f aca="true" t="shared" si="126" ref="C452:H452">SUM(C453:C456)</f>
        <v>28768168</v>
      </c>
      <c r="D452" s="54">
        <f t="shared" si="126"/>
        <v>10772</v>
      </c>
      <c r="E452" s="54">
        <f t="shared" si="126"/>
        <v>0</v>
      </c>
      <c r="F452" s="54">
        <f t="shared" si="126"/>
        <v>28778940</v>
      </c>
      <c r="G452" s="54">
        <f t="shared" si="126"/>
        <v>0</v>
      </c>
      <c r="H452" s="55">
        <f t="shared" si="126"/>
        <v>28778940</v>
      </c>
    </row>
    <row r="453" spans="1:8" ht="12">
      <c r="A453" s="78">
        <v>510201</v>
      </c>
      <c r="B453" s="80" t="s">
        <v>327</v>
      </c>
      <c r="C453" s="56">
        <v>2180</v>
      </c>
      <c r="D453" s="56">
        <v>10772</v>
      </c>
      <c r="E453" s="56">
        <v>0</v>
      </c>
      <c r="F453" s="27">
        <f t="shared" si="120"/>
        <v>12952</v>
      </c>
      <c r="G453" s="56">
        <v>0</v>
      </c>
      <c r="H453" s="77">
        <f t="shared" si="125"/>
        <v>12952</v>
      </c>
    </row>
    <row r="454" spans="1:8" ht="12">
      <c r="A454" s="78">
        <v>510203</v>
      </c>
      <c r="B454" s="80" t="s">
        <v>328</v>
      </c>
      <c r="C454" s="56">
        <v>0</v>
      </c>
      <c r="D454" s="56">
        <v>0</v>
      </c>
      <c r="E454" s="56">
        <v>0</v>
      </c>
      <c r="F454" s="27">
        <f t="shared" si="120"/>
        <v>0</v>
      </c>
      <c r="G454" s="56">
        <v>0</v>
      </c>
      <c r="H454" s="77">
        <f t="shared" si="125"/>
        <v>0</v>
      </c>
    </row>
    <row r="455" spans="1:8" ht="12">
      <c r="A455" s="78">
        <v>510207</v>
      </c>
      <c r="B455" s="80" t="s">
        <v>329</v>
      </c>
      <c r="C455" s="56">
        <v>0</v>
      </c>
      <c r="D455" s="56">
        <v>0</v>
      </c>
      <c r="E455" s="56">
        <v>0</v>
      </c>
      <c r="F455" s="27">
        <f t="shared" si="120"/>
        <v>0</v>
      </c>
      <c r="G455" s="56">
        <v>0</v>
      </c>
      <c r="H455" s="77">
        <f t="shared" si="125"/>
        <v>0</v>
      </c>
    </row>
    <row r="456" spans="1:8" ht="12">
      <c r="A456" s="78">
        <v>510214</v>
      </c>
      <c r="B456" s="80" t="s">
        <v>330</v>
      </c>
      <c r="C456" s="56">
        <v>28765988</v>
      </c>
      <c r="D456" s="56">
        <v>0</v>
      </c>
      <c r="E456" s="56">
        <v>0</v>
      </c>
      <c r="F456" s="27">
        <f t="shared" si="120"/>
        <v>28765988</v>
      </c>
      <c r="G456" s="56">
        <v>0</v>
      </c>
      <c r="H456" s="77">
        <f t="shared" si="125"/>
        <v>28765988</v>
      </c>
    </row>
    <row r="457" spans="1:8" ht="12">
      <c r="A457" s="78">
        <v>510300</v>
      </c>
      <c r="B457" s="79" t="s">
        <v>331</v>
      </c>
      <c r="C457" s="54">
        <f aca="true" t="shared" si="127" ref="C457:H457">SUM(C458:C464)</f>
        <v>523353</v>
      </c>
      <c r="D457" s="54">
        <f t="shared" si="127"/>
        <v>378221</v>
      </c>
      <c r="E457" s="54">
        <f t="shared" si="127"/>
        <v>302303</v>
      </c>
      <c r="F457" s="54">
        <f t="shared" si="127"/>
        <v>599271</v>
      </c>
      <c r="G457" s="54">
        <f t="shared" si="127"/>
        <v>0</v>
      </c>
      <c r="H457" s="55">
        <f t="shared" si="127"/>
        <v>599271</v>
      </c>
    </row>
    <row r="458" spans="1:8" ht="12">
      <c r="A458" s="78">
        <v>510302</v>
      </c>
      <c r="B458" s="80" t="s">
        <v>332</v>
      </c>
      <c r="C458" s="56">
        <v>86528</v>
      </c>
      <c r="D458" s="56">
        <f>90989-25004</f>
        <v>65985</v>
      </c>
      <c r="E458" s="56">
        <v>24416</v>
      </c>
      <c r="F458" s="27">
        <f t="shared" si="120"/>
        <v>128097</v>
      </c>
      <c r="G458" s="56">
        <v>0</v>
      </c>
      <c r="H458" s="77">
        <f t="shared" si="125"/>
        <v>128097</v>
      </c>
    </row>
    <row r="459" spans="1:8" ht="12">
      <c r="A459" s="78">
        <v>510303</v>
      </c>
      <c r="B459" s="80" t="s">
        <v>333</v>
      </c>
      <c r="C459" s="56">
        <v>167356</v>
      </c>
      <c r="D459" s="56">
        <f>196629-68618</f>
        <v>128011</v>
      </c>
      <c r="E459" s="56">
        <v>277774</v>
      </c>
      <c r="F459" s="27">
        <f t="shared" si="120"/>
        <v>17593</v>
      </c>
      <c r="G459" s="56">
        <v>0</v>
      </c>
      <c r="H459" s="77">
        <f t="shared" si="125"/>
        <v>17593</v>
      </c>
    </row>
    <row r="460" spans="1:8" ht="12">
      <c r="A460" s="78">
        <v>510304</v>
      </c>
      <c r="B460" s="80" t="s">
        <v>334</v>
      </c>
      <c r="C460" s="56">
        <v>113</v>
      </c>
      <c r="D460" s="56">
        <v>0</v>
      </c>
      <c r="E460" s="56">
        <v>113</v>
      </c>
      <c r="F460" s="27">
        <f t="shared" si="120"/>
        <v>0</v>
      </c>
      <c r="G460" s="56">
        <v>0</v>
      </c>
      <c r="H460" s="77">
        <f t="shared" si="125"/>
        <v>0</v>
      </c>
    </row>
    <row r="461" spans="1:8" ht="12">
      <c r="A461" s="78">
        <v>510305</v>
      </c>
      <c r="B461" s="80" t="s">
        <v>335</v>
      </c>
      <c r="C461" s="56">
        <v>10093</v>
      </c>
      <c r="D461" s="56">
        <f>11229-2962</f>
        <v>8267</v>
      </c>
      <c r="E461" s="56">
        <v>0</v>
      </c>
      <c r="F461" s="27">
        <f t="shared" si="120"/>
        <v>18360</v>
      </c>
      <c r="G461" s="56">
        <v>0</v>
      </c>
      <c r="H461" s="77">
        <f t="shared" si="125"/>
        <v>18360</v>
      </c>
    </row>
    <row r="462" spans="1:8" ht="22.5">
      <c r="A462" s="78">
        <v>510306</v>
      </c>
      <c r="B462" s="80" t="s">
        <v>336</v>
      </c>
      <c r="C462" s="56">
        <v>139359</v>
      </c>
      <c r="D462" s="56">
        <v>92818</v>
      </c>
      <c r="E462" s="56">
        <v>0</v>
      </c>
      <c r="F462" s="27">
        <f t="shared" si="120"/>
        <v>232177</v>
      </c>
      <c r="G462" s="56">
        <v>0</v>
      </c>
      <c r="H462" s="77">
        <f t="shared" si="125"/>
        <v>232177</v>
      </c>
    </row>
    <row r="463" spans="1:8" ht="22.5">
      <c r="A463" s="78">
        <v>510307</v>
      </c>
      <c r="B463" s="80" t="s">
        <v>337</v>
      </c>
      <c r="C463" s="56">
        <v>119904</v>
      </c>
      <c r="D463" s="56">
        <f>133926-50786</f>
        <v>83140</v>
      </c>
      <c r="E463" s="56">
        <v>0</v>
      </c>
      <c r="F463" s="27">
        <f t="shared" si="120"/>
        <v>203044</v>
      </c>
      <c r="G463" s="56">
        <v>0</v>
      </c>
      <c r="H463" s="77">
        <f t="shared" si="125"/>
        <v>203044</v>
      </c>
    </row>
    <row r="464" spans="1:8" ht="12">
      <c r="A464" s="78">
        <v>510390</v>
      </c>
      <c r="B464" s="80" t="s">
        <v>338</v>
      </c>
      <c r="C464" s="56">
        <v>0</v>
      </c>
      <c r="D464" s="56">
        <v>0</v>
      </c>
      <c r="E464" s="56">
        <v>0</v>
      </c>
      <c r="F464" s="27">
        <f t="shared" si="120"/>
        <v>0</v>
      </c>
      <c r="G464" s="56">
        <v>0</v>
      </c>
      <c r="H464" s="77">
        <f t="shared" si="125"/>
        <v>0</v>
      </c>
    </row>
    <row r="465" spans="1:8" ht="12">
      <c r="A465" s="78">
        <v>510400</v>
      </c>
      <c r="B465" s="79" t="s">
        <v>339</v>
      </c>
      <c r="C465" s="54">
        <f aca="true" t="shared" si="128" ref="C465:H465">SUM(C466:C469)</f>
        <v>5045521</v>
      </c>
      <c r="D465" s="54">
        <f t="shared" si="128"/>
        <v>79080</v>
      </c>
      <c r="E465" s="54">
        <f t="shared" si="128"/>
        <v>102352</v>
      </c>
      <c r="F465" s="54">
        <f t="shared" si="128"/>
        <v>5022249</v>
      </c>
      <c r="G465" s="54">
        <f t="shared" si="128"/>
        <v>0</v>
      </c>
      <c r="H465" s="55">
        <f t="shared" si="128"/>
        <v>5022249</v>
      </c>
    </row>
    <row r="466" spans="1:8" ht="12">
      <c r="A466" s="78">
        <v>510401</v>
      </c>
      <c r="B466" s="80" t="s">
        <v>340</v>
      </c>
      <c r="C466" s="56">
        <v>4298563</v>
      </c>
      <c r="D466" s="56">
        <f>66616-19170</f>
        <v>47446</v>
      </c>
      <c r="E466" s="56">
        <v>0</v>
      </c>
      <c r="F466" s="27">
        <f t="shared" si="120"/>
        <v>4346009</v>
      </c>
      <c r="G466" s="56">
        <v>0</v>
      </c>
      <c r="H466" s="77">
        <f t="shared" si="125"/>
        <v>4346009</v>
      </c>
    </row>
    <row r="467" spans="1:8" ht="12">
      <c r="A467" s="78">
        <v>510402</v>
      </c>
      <c r="B467" s="80" t="s">
        <v>341</v>
      </c>
      <c r="C467" s="56">
        <v>10816</v>
      </c>
      <c r="D467" s="56">
        <v>7908</v>
      </c>
      <c r="E467" s="56">
        <v>0</v>
      </c>
      <c r="F467" s="27">
        <f t="shared" si="120"/>
        <v>18724</v>
      </c>
      <c r="G467" s="56">
        <v>0</v>
      </c>
      <c r="H467" s="77">
        <f t="shared" si="125"/>
        <v>18724</v>
      </c>
    </row>
    <row r="468" spans="1:8" ht="12">
      <c r="A468" s="78">
        <v>510403</v>
      </c>
      <c r="B468" s="80" t="s">
        <v>342</v>
      </c>
      <c r="C468" s="56">
        <v>714510</v>
      </c>
      <c r="D468" s="56">
        <v>7908</v>
      </c>
      <c r="E468" s="56">
        <v>37800</v>
      </c>
      <c r="F468" s="27">
        <f t="shared" si="120"/>
        <v>684618</v>
      </c>
      <c r="G468" s="56">
        <v>0</v>
      </c>
      <c r="H468" s="77">
        <f t="shared" si="125"/>
        <v>684618</v>
      </c>
    </row>
    <row r="469" spans="1:8" ht="12">
      <c r="A469" s="78">
        <v>510404</v>
      </c>
      <c r="B469" s="80" t="s">
        <v>343</v>
      </c>
      <c r="C469" s="56">
        <v>21632</v>
      </c>
      <c r="D469" s="56">
        <v>15818</v>
      </c>
      <c r="E469" s="56">
        <v>64552</v>
      </c>
      <c r="F469" s="27">
        <f t="shared" si="120"/>
        <v>-27102</v>
      </c>
      <c r="G469" s="56">
        <v>0</v>
      </c>
      <c r="H469" s="77">
        <f t="shared" si="125"/>
        <v>-27102</v>
      </c>
    </row>
    <row r="470" spans="1:8" ht="12">
      <c r="A470" s="78">
        <v>511100</v>
      </c>
      <c r="B470" s="79" t="s">
        <v>344</v>
      </c>
      <c r="C470" s="54">
        <f aca="true" t="shared" si="129" ref="C470:H470">SUM(C471:C502)</f>
        <v>570007</v>
      </c>
      <c r="D470" s="54">
        <f t="shared" si="129"/>
        <v>1096477</v>
      </c>
      <c r="E470" s="54">
        <f t="shared" si="129"/>
        <v>80605</v>
      </c>
      <c r="F470" s="54">
        <f t="shared" si="129"/>
        <v>1585879</v>
      </c>
      <c r="G470" s="54">
        <f t="shared" si="129"/>
        <v>0</v>
      </c>
      <c r="H470" s="55">
        <f t="shared" si="129"/>
        <v>1585879</v>
      </c>
    </row>
    <row r="471" spans="1:8" ht="12">
      <c r="A471" s="78">
        <v>511103</v>
      </c>
      <c r="B471" s="80" t="s">
        <v>345</v>
      </c>
      <c r="C471" s="56">
        <v>0</v>
      </c>
      <c r="D471" s="56">
        <v>0</v>
      </c>
      <c r="E471" s="56">
        <v>0</v>
      </c>
      <c r="F471" s="27">
        <f t="shared" si="120"/>
        <v>0</v>
      </c>
      <c r="G471" s="56">
        <v>0</v>
      </c>
      <c r="H471" s="77">
        <f t="shared" si="125"/>
        <v>0</v>
      </c>
    </row>
    <row r="472" spans="1:8" ht="12">
      <c r="A472" s="78">
        <v>511104</v>
      </c>
      <c r="B472" s="80" t="s">
        <v>346</v>
      </c>
      <c r="C472" s="56">
        <v>0</v>
      </c>
      <c r="D472" s="56">
        <v>0</v>
      </c>
      <c r="E472" s="56">
        <v>0</v>
      </c>
      <c r="F472" s="27">
        <f aca="true" t="shared" si="130" ref="F472:F513">+C472+D472-E472</f>
        <v>0</v>
      </c>
      <c r="G472" s="56">
        <v>0</v>
      </c>
      <c r="H472" s="77">
        <f t="shared" si="125"/>
        <v>0</v>
      </c>
    </row>
    <row r="473" spans="1:8" ht="12">
      <c r="A473" s="78">
        <v>511106</v>
      </c>
      <c r="B473" s="80" t="s">
        <v>77</v>
      </c>
      <c r="C473" s="56">
        <v>66792</v>
      </c>
      <c r="D473" s="56">
        <v>34998</v>
      </c>
      <c r="E473" s="56">
        <v>51656</v>
      </c>
      <c r="F473" s="27">
        <f t="shared" si="130"/>
        <v>50134</v>
      </c>
      <c r="G473" s="56">
        <v>0</v>
      </c>
      <c r="H473" s="77">
        <f t="shared" si="125"/>
        <v>50134</v>
      </c>
    </row>
    <row r="474" spans="1:8" ht="12">
      <c r="A474" s="78">
        <v>511109</v>
      </c>
      <c r="B474" s="80" t="s">
        <v>78</v>
      </c>
      <c r="C474" s="56">
        <v>31862</v>
      </c>
      <c r="D474" s="56">
        <v>0</v>
      </c>
      <c r="E474" s="56">
        <v>0</v>
      </c>
      <c r="F474" s="27">
        <f t="shared" si="130"/>
        <v>31862</v>
      </c>
      <c r="G474" s="56">
        <v>0</v>
      </c>
      <c r="H474" s="77">
        <f t="shared" si="125"/>
        <v>31862</v>
      </c>
    </row>
    <row r="475" spans="1:8" ht="12">
      <c r="A475" s="78">
        <v>511111</v>
      </c>
      <c r="B475" s="80" t="s">
        <v>347</v>
      </c>
      <c r="C475" s="56">
        <v>34076</v>
      </c>
      <c r="D475" s="56">
        <f>1013095-956167</f>
        <v>56928</v>
      </c>
      <c r="E475" s="56">
        <v>0</v>
      </c>
      <c r="F475" s="27">
        <f t="shared" si="130"/>
        <v>91004</v>
      </c>
      <c r="G475" s="56">
        <v>0</v>
      </c>
      <c r="H475" s="77">
        <f t="shared" si="125"/>
        <v>91004</v>
      </c>
    </row>
    <row r="476" spans="1:8" ht="12">
      <c r="A476" s="78">
        <v>511113</v>
      </c>
      <c r="B476" s="80" t="s">
        <v>348</v>
      </c>
      <c r="C476" s="56">
        <v>51678</v>
      </c>
      <c r="D476" s="56">
        <f>95419-20538</f>
        <v>74881</v>
      </c>
      <c r="E476" s="56">
        <v>0</v>
      </c>
      <c r="F476" s="27">
        <f t="shared" si="130"/>
        <v>126559</v>
      </c>
      <c r="G476" s="56">
        <v>0</v>
      </c>
      <c r="H476" s="77">
        <f t="shared" si="125"/>
        <v>126559</v>
      </c>
    </row>
    <row r="477" spans="1:8" ht="12">
      <c r="A477" s="78">
        <v>511114</v>
      </c>
      <c r="B477" s="80" t="s">
        <v>349</v>
      </c>
      <c r="C477" s="56">
        <v>11342</v>
      </c>
      <c r="D477" s="56">
        <f>323467-56199-19115-1243</f>
        <v>246910</v>
      </c>
      <c r="E477" s="56">
        <v>3750</v>
      </c>
      <c r="F477" s="27">
        <f t="shared" si="130"/>
        <v>254502</v>
      </c>
      <c r="G477" s="56">
        <v>0</v>
      </c>
      <c r="H477" s="77">
        <f t="shared" si="125"/>
        <v>254502</v>
      </c>
    </row>
    <row r="478" spans="1:8" ht="12">
      <c r="A478" s="78">
        <v>511115</v>
      </c>
      <c r="B478" s="80" t="s">
        <v>71</v>
      </c>
      <c r="C478" s="56">
        <v>29957</v>
      </c>
      <c r="D478" s="56">
        <f>254888-191298</f>
        <v>63590</v>
      </c>
      <c r="E478" s="56">
        <v>0</v>
      </c>
      <c r="F478" s="27">
        <f t="shared" si="130"/>
        <v>93547</v>
      </c>
      <c r="G478" s="56">
        <v>0</v>
      </c>
      <c r="H478" s="77">
        <f t="shared" si="125"/>
        <v>93547</v>
      </c>
    </row>
    <row r="479" spans="1:8" ht="12">
      <c r="A479" s="78">
        <v>511116</v>
      </c>
      <c r="B479" s="80" t="s">
        <v>350</v>
      </c>
      <c r="C479" s="56">
        <v>0</v>
      </c>
      <c r="D479" s="56">
        <f>3507-3507</f>
        <v>0</v>
      </c>
      <c r="E479" s="56">
        <v>0</v>
      </c>
      <c r="F479" s="27">
        <f>C479+D479-E479</f>
        <v>0</v>
      </c>
      <c r="G479" s="56">
        <v>0</v>
      </c>
      <c r="H479" s="77">
        <f t="shared" si="125"/>
        <v>0</v>
      </c>
    </row>
    <row r="480" spans="1:8" ht="12">
      <c r="A480" s="78">
        <v>511117</v>
      </c>
      <c r="B480" s="80" t="s">
        <v>147</v>
      </c>
      <c r="C480" s="56">
        <v>49087</v>
      </c>
      <c r="D480" s="56">
        <f>204892-21173-18733-12574-1338</f>
        <v>151074</v>
      </c>
      <c r="E480" s="56">
        <v>0</v>
      </c>
      <c r="F480" s="27">
        <f t="shared" si="130"/>
        <v>200161</v>
      </c>
      <c r="G480" s="56">
        <v>0</v>
      </c>
      <c r="H480" s="77">
        <f t="shared" si="125"/>
        <v>200161</v>
      </c>
    </row>
    <row r="481" spans="1:8" ht="12">
      <c r="A481" s="78">
        <v>511118</v>
      </c>
      <c r="B481" s="80" t="s">
        <v>0</v>
      </c>
      <c r="C481" s="56">
        <v>299</v>
      </c>
      <c r="D481" s="56">
        <f>8910-8910</f>
        <v>0</v>
      </c>
      <c r="E481" s="56">
        <v>0</v>
      </c>
      <c r="F481" s="27">
        <f t="shared" si="130"/>
        <v>299</v>
      </c>
      <c r="G481" s="56">
        <v>0</v>
      </c>
      <c r="H481" s="77">
        <f t="shared" si="125"/>
        <v>299</v>
      </c>
    </row>
    <row r="482" spans="1:8" ht="12">
      <c r="A482" s="78">
        <v>511119</v>
      </c>
      <c r="B482" s="80" t="s">
        <v>351</v>
      </c>
      <c r="C482" s="56">
        <v>115781</v>
      </c>
      <c r="D482" s="56">
        <f>209478-60650</f>
        <v>148828</v>
      </c>
      <c r="E482" s="56">
        <v>0</v>
      </c>
      <c r="F482" s="27">
        <f t="shared" si="130"/>
        <v>264609</v>
      </c>
      <c r="G482" s="56">
        <v>0</v>
      </c>
      <c r="H482" s="77">
        <f t="shared" si="125"/>
        <v>264609</v>
      </c>
    </row>
    <row r="483" spans="1:8" ht="12">
      <c r="A483" s="78">
        <v>511120</v>
      </c>
      <c r="B483" s="80" t="s">
        <v>352</v>
      </c>
      <c r="C483" s="56">
        <v>0</v>
      </c>
      <c r="D483" s="56">
        <v>48329</v>
      </c>
      <c r="E483" s="56">
        <v>0</v>
      </c>
      <c r="F483" s="27">
        <f t="shared" si="130"/>
        <v>48329</v>
      </c>
      <c r="G483" s="56">
        <v>0</v>
      </c>
      <c r="H483" s="77">
        <f t="shared" si="125"/>
        <v>48329</v>
      </c>
    </row>
    <row r="484" spans="1:8" ht="12">
      <c r="A484" s="78">
        <v>511121</v>
      </c>
      <c r="B484" s="80" t="s">
        <v>353</v>
      </c>
      <c r="C484" s="56">
        <v>15291</v>
      </c>
      <c r="D484" s="56">
        <f>25022-3285</f>
        <v>21737</v>
      </c>
      <c r="E484" s="56">
        <v>0</v>
      </c>
      <c r="F484" s="27">
        <f t="shared" si="130"/>
        <v>37028</v>
      </c>
      <c r="G484" s="56">
        <v>0</v>
      </c>
      <c r="H484" s="77">
        <f t="shared" si="125"/>
        <v>37028</v>
      </c>
    </row>
    <row r="485" spans="1:8" ht="12">
      <c r="A485" s="78">
        <v>511122</v>
      </c>
      <c r="B485" s="80" t="s">
        <v>354</v>
      </c>
      <c r="C485" s="56">
        <v>5036</v>
      </c>
      <c r="D485" s="56">
        <f>15046-11581</f>
        <v>3465</v>
      </c>
      <c r="E485" s="56">
        <v>0</v>
      </c>
      <c r="F485" s="27">
        <f t="shared" si="130"/>
        <v>8501</v>
      </c>
      <c r="G485" s="56">
        <v>0</v>
      </c>
      <c r="H485" s="77">
        <f t="shared" si="125"/>
        <v>8501</v>
      </c>
    </row>
    <row r="486" spans="1:8" ht="12">
      <c r="A486" s="78">
        <v>511123</v>
      </c>
      <c r="B486" s="80" t="s">
        <v>355</v>
      </c>
      <c r="C486" s="56">
        <v>46063</v>
      </c>
      <c r="D486" s="56">
        <f>61791-10202</f>
        <v>51589</v>
      </c>
      <c r="E486" s="56">
        <v>0</v>
      </c>
      <c r="F486" s="27">
        <f t="shared" si="130"/>
        <v>97652</v>
      </c>
      <c r="G486" s="56">
        <v>0</v>
      </c>
      <c r="H486" s="77">
        <f t="shared" si="125"/>
        <v>97652</v>
      </c>
    </row>
    <row r="487" spans="1:8" ht="12">
      <c r="A487" s="78">
        <v>511125</v>
      </c>
      <c r="B487" s="80" t="s">
        <v>356</v>
      </c>
      <c r="C487" s="56">
        <v>41572</v>
      </c>
      <c r="D487" s="56">
        <f>93255-15850-7460-760-1530-1961</f>
        <v>65694</v>
      </c>
      <c r="E487" s="56">
        <v>0</v>
      </c>
      <c r="F487" s="27">
        <f t="shared" si="130"/>
        <v>107266</v>
      </c>
      <c r="G487" s="56">
        <v>0</v>
      </c>
      <c r="H487" s="77">
        <f t="shared" si="125"/>
        <v>107266</v>
      </c>
    </row>
    <row r="488" spans="1:8" ht="12">
      <c r="A488" s="78">
        <v>511126</v>
      </c>
      <c r="B488" s="80" t="s">
        <v>357</v>
      </c>
      <c r="C488" s="56">
        <v>0</v>
      </c>
      <c r="D488" s="56">
        <v>0</v>
      </c>
      <c r="E488" s="56">
        <v>0</v>
      </c>
      <c r="F488" s="27">
        <f t="shared" si="130"/>
        <v>0</v>
      </c>
      <c r="G488" s="56">
        <v>0</v>
      </c>
      <c r="H488" s="77">
        <f t="shared" si="125"/>
        <v>0</v>
      </c>
    </row>
    <row r="489" spans="1:8" ht="12">
      <c r="A489" s="78">
        <v>511127</v>
      </c>
      <c r="B489" s="80" t="s">
        <v>358</v>
      </c>
      <c r="C489" s="56">
        <v>29928</v>
      </c>
      <c r="D489" s="56">
        <v>0</v>
      </c>
      <c r="E489" s="56">
        <v>0</v>
      </c>
      <c r="F489" s="27">
        <f t="shared" si="130"/>
        <v>29928</v>
      </c>
      <c r="G489" s="56">
        <v>0</v>
      </c>
      <c r="H489" s="77">
        <f aca="true" t="shared" si="131" ref="H489:H513">+F489</f>
        <v>29928</v>
      </c>
    </row>
    <row r="490" spans="1:8" ht="12">
      <c r="A490" s="78">
        <v>511128</v>
      </c>
      <c r="B490" s="80" t="s">
        <v>359</v>
      </c>
      <c r="C490" s="56">
        <v>0</v>
      </c>
      <c r="D490" s="56">
        <f>1500-1500</f>
        <v>0</v>
      </c>
      <c r="E490" s="56">
        <v>0</v>
      </c>
      <c r="F490" s="27">
        <f t="shared" si="130"/>
        <v>0</v>
      </c>
      <c r="G490" s="56">
        <v>0</v>
      </c>
      <c r="H490" s="77">
        <f t="shared" si="131"/>
        <v>0</v>
      </c>
    </row>
    <row r="491" spans="1:8" ht="12">
      <c r="A491" s="78">
        <v>511131</v>
      </c>
      <c r="B491" s="80" t="s">
        <v>360</v>
      </c>
      <c r="C491" s="56">
        <v>0</v>
      </c>
      <c r="D491" s="56">
        <v>0</v>
      </c>
      <c r="E491" s="56">
        <v>0</v>
      </c>
      <c r="F491" s="27">
        <f t="shared" si="130"/>
        <v>0</v>
      </c>
      <c r="G491" s="56">
        <v>0</v>
      </c>
      <c r="H491" s="77">
        <f t="shared" si="131"/>
        <v>0</v>
      </c>
    </row>
    <row r="492" spans="1:8" ht="12">
      <c r="A492" s="78">
        <v>511132</v>
      </c>
      <c r="B492" s="80" t="s">
        <v>361</v>
      </c>
      <c r="C492" s="56">
        <v>5000</v>
      </c>
      <c r="D492" s="56">
        <v>0</v>
      </c>
      <c r="E492" s="56">
        <v>0</v>
      </c>
      <c r="F492" s="27">
        <f t="shared" si="130"/>
        <v>5000</v>
      </c>
      <c r="G492" s="56">
        <v>0</v>
      </c>
      <c r="H492" s="77">
        <f t="shared" si="131"/>
        <v>5000</v>
      </c>
    </row>
    <row r="493" spans="1:8" ht="12">
      <c r="A493" s="78">
        <v>511133</v>
      </c>
      <c r="B493" s="80" t="s">
        <v>362</v>
      </c>
      <c r="C493" s="56">
        <v>0</v>
      </c>
      <c r="D493" s="56">
        <f>2600-2600</f>
        <v>0</v>
      </c>
      <c r="E493" s="56">
        <v>0</v>
      </c>
      <c r="F493" s="27">
        <f t="shared" si="130"/>
        <v>0</v>
      </c>
      <c r="G493" s="56">
        <v>0</v>
      </c>
      <c r="H493" s="77">
        <f t="shared" si="131"/>
        <v>0</v>
      </c>
    </row>
    <row r="494" spans="1:8" ht="12">
      <c r="A494" s="78">
        <v>511136</v>
      </c>
      <c r="B494" s="80" t="s">
        <v>363</v>
      </c>
      <c r="C494" s="56">
        <v>0</v>
      </c>
      <c r="D494" s="56">
        <f>32936-32936</f>
        <v>0</v>
      </c>
      <c r="E494" s="56">
        <v>0</v>
      </c>
      <c r="F494" s="27">
        <f t="shared" si="130"/>
        <v>0</v>
      </c>
      <c r="G494" s="56">
        <v>0</v>
      </c>
      <c r="H494" s="77">
        <f t="shared" si="131"/>
        <v>0</v>
      </c>
    </row>
    <row r="495" spans="1:8" ht="12">
      <c r="A495" s="78">
        <v>511137</v>
      </c>
      <c r="B495" s="80" t="s">
        <v>364</v>
      </c>
      <c r="C495" s="56">
        <v>0</v>
      </c>
      <c r="D495" s="56">
        <v>8955</v>
      </c>
      <c r="E495" s="56">
        <v>0</v>
      </c>
      <c r="F495" s="27">
        <f t="shared" si="130"/>
        <v>8955</v>
      </c>
      <c r="G495" s="56">
        <v>0</v>
      </c>
      <c r="H495" s="77">
        <f t="shared" si="131"/>
        <v>8955</v>
      </c>
    </row>
    <row r="496" spans="1:8" ht="12">
      <c r="A496" s="78">
        <v>511146</v>
      </c>
      <c r="B496" s="80" t="s">
        <v>365</v>
      </c>
      <c r="C496" s="56">
        <v>0</v>
      </c>
      <c r="D496" s="56">
        <f>41041-8603</f>
        <v>32438</v>
      </c>
      <c r="E496" s="56">
        <v>0</v>
      </c>
      <c r="F496" s="27">
        <f t="shared" si="130"/>
        <v>32438</v>
      </c>
      <c r="G496" s="56">
        <v>0</v>
      </c>
      <c r="H496" s="77">
        <f t="shared" si="131"/>
        <v>32438</v>
      </c>
    </row>
    <row r="497" spans="1:8" ht="12">
      <c r="A497" s="78">
        <v>511149</v>
      </c>
      <c r="B497" s="80" t="s">
        <v>366</v>
      </c>
      <c r="C497" s="56">
        <v>30653</v>
      </c>
      <c r="D497" s="56">
        <f>65549-3769</f>
        <v>61780</v>
      </c>
      <c r="E497" s="56">
        <v>0</v>
      </c>
      <c r="F497" s="27">
        <f t="shared" si="130"/>
        <v>92433</v>
      </c>
      <c r="G497" s="56">
        <v>0</v>
      </c>
      <c r="H497" s="77">
        <f t="shared" si="131"/>
        <v>92433</v>
      </c>
    </row>
    <row r="498" spans="1:8" ht="12">
      <c r="A498" s="78">
        <v>511150</v>
      </c>
      <c r="B498" s="80" t="s">
        <v>367</v>
      </c>
      <c r="C498" s="56">
        <v>0</v>
      </c>
      <c r="D498" s="56">
        <v>0</v>
      </c>
      <c r="E498" s="56">
        <v>0</v>
      </c>
      <c r="F498" s="27">
        <f t="shared" si="130"/>
        <v>0</v>
      </c>
      <c r="G498" s="56">
        <v>0</v>
      </c>
      <c r="H498" s="77">
        <f t="shared" si="131"/>
        <v>0</v>
      </c>
    </row>
    <row r="499" spans="1:8" ht="12">
      <c r="A499" s="78">
        <v>511152</v>
      </c>
      <c r="B499" s="80" t="s">
        <v>368</v>
      </c>
      <c r="C499" s="56">
        <v>0</v>
      </c>
      <c r="D499" s="56">
        <f>62-62</f>
        <v>0</v>
      </c>
      <c r="E499" s="56">
        <v>0</v>
      </c>
      <c r="F499" s="27">
        <f t="shared" si="130"/>
        <v>0</v>
      </c>
      <c r="G499" s="56">
        <v>0</v>
      </c>
      <c r="H499" s="77">
        <f t="shared" si="131"/>
        <v>0</v>
      </c>
    </row>
    <row r="500" spans="1:8" ht="12">
      <c r="A500" s="78">
        <v>511154</v>
      </c>
      <c r="B500" s="80" t="s">
        <v>369</v>
      </c>
      <c r="C500" s="56">
        <v>345</v>
      </c>
      <c r="D500" s="56">
        <f>20946-15619</f>
        <v>5327</v>
      </c>
      <c r="E500" s="56">
        <v>0</v>
      </c>
      <c r="F500" s="27">
        <f t="shared" si="130"/>
        <v>5672</v>
      </c>
      <c r="G500" s="56">
        <v>0</v>
      </c>
      <c r="H500" s="77">
        <f t="shared" si="131"/>
        <v>5672</v>
      </c>
    </row>
    <row r="501" spans="1:8" ht="12">
      <c r="A501" s="78">
        <v>511155</v>
      </c>
      <c r="B501" s="80" t="s">
        <v>370</v>
      </c>
      <c r="C501" s="56">
        <v>5245</v>
      </c>
      <c r="D501" s="56">
        <f>26402-6448</f>
        <v>19954</v>
      </c>
      <c r="E501" s="56">
        <v>25199</v>
      </c>
      <c r="F501" s="27">
        <f t="shared" si="130"/>
        <v>0</v>
      </c>
      <c r="G501" s="56">
        <v>0</v>
      </c>
      <c r="H501" s="77">
        <f t="shared" si="131"/>
        <v>0</v>
      </c>
    </row>
    <row r="502" spans="1:8" ht="12">
      <c r="A502" s="78">
        <v>511190</v>
      </c>
      <c r="B502" s="80" t="s">
        <v>371</v>
      </c>
      <c r="C502" s="56">
        <v>0</v>
      </c>
      <c r="D502" s="56">
        <v>0</v>
      </c>
      <c r="E502" s="56">
        <v>0</v>
      </c>
      <c r="F502" s="27">
        <f t="shared" si="130"/>
        <v>0</v>
      </c>
      <c r="G502" s="56">
        <v>0</v>
      </c>
      <c r="H502" s="77">
        <f t="shared" si="131"/>
        <v>0</v>
      </c>
    </row>
    <row r="503" spans="1:8" ht="12">
      <c r="A503" s="78">
        <v>512000</v>
      </c>
      <c r="B503" s="79" t="s">
        <v>372</v>
      </c>
      <c r="C503" s="54">
        <f aca="true" t="shared" si="132" ref="C503:H503">SUM(C504:C513)</f>
        <v>1850</v>
      </c>
      <c r="D503" s="54">
        <f t="shared" si="132"/>
        <v>2023013</v>
      </c>
      <c r="E503" s="54">
        <f t="shared" si="132"/>
        <v>0</v>
      </c>
      <c r="F503" s="54">
        <f t="shared" si="132"/>
        <v>2024863</v>
      </c>
      <c r="G503" s="54">
        <f t="shared" si="132"/>
        <v>0</v>
      </c>
      <c r="H503" s="55">
        <f t="shared" si="132"/>
        <v>2024863</v>
      </c>
    </row>
    <row r="504" spans="1:8" ht="12">
      <c r="A504" s="78">
        <v>512001</v>
      </c>
      <c r="B504" s="80" t="s">
        <v>178</v>
      </c>
      <c r="C504" s="56">
        <v>0</v>
      </c>
      <c r="D504" s="56">
        <v>4667</v>
      </c>
      <c r="E504" s="56">
        <v>0</v>
      </c>
      <c r="F504" s="27">
        <f t="shared" si="130"/>
        <v>4667</v>
      </c>
      <c r="G504" s="56">
        <v>0</v>
      </c>
      <c r="H504" s="77">
        <f t="shared" si="131"/>
        <v>4667</v>
      </c>
    </row>
    <row r="505" spans="1:8" ht="12">
      <c r="A505" s="78">
        <v>512002</v>
      </c>
      <c r="B505" s="80" t="s">
        <v>373</v>
      </c>
      <c r="C505" s="56">
        <v>0</v>
      </c>
      <c r="D505" s="56">
        <v>1990733</v>
      </c>
      <c r="E505" s="56">
        <v>0</v>
      </c>
      <c r="F505" s="27">
        <f t="shared" si="130"/>
        <v>1990733</v>
      </c>
      <c r="G505" s="56">
        <v>0</v>
      </c>
      <c r="H505" s="77">
        <f t="shared" si="131"/>
        <v>1990733</v>
      </c>
    </row>
    <row r="506" spans="1:8" ht="12">
      <c r="A506" s="78">
        <v>512003</v>
      </c>
      <c r="B506" s="80" t="s">
        <v>374</v>
      </c>
      <c r="C506" s="56">
        <v>0</v>
      </c>
      <c r="D506" s="56">
        <v>0</v>
      </c>
      <c r="E506" s="56">
        <v>0</v>
      </c>
      <c r="F506" s="27">
        <f t="shared" si="130"/>
        <v>0</v>
      </c>
      <c r="G506" s="56">
        <v>0</v>
      </c>
      <c r="H506" s="77">
        <f t="shared" si="131"/>
        <v>0</v>
      </c>
    </row>
    <row r="507" spans="1:8" ht="12">
      <c r="A507" s="78">
        <v>512006</v>
      </c>
      <c r="B507" s="80" t="s">
        <v>179</v>
      </c>
      <c r="C507" s="56">
        <v>0</v>
      </c>
      <c r="D507" s="56">
        <v>23010</v>
      </c>
      <c r="E507" s="56">
        <v>0</v>
      </c>
      <c r="F507" s="27">
        <f t="shared" si="130"/>
        <v>23010</v>
      </c>
      <c r="G507" s="56">
        <v>0</v>
      </c>
      <c r="H507" s="77">
        <f t="shared" si="131"/>
        <v>23010</v>
      </c>
    </row>
    <row r="508" spans="1:8" ht="12">
      <c r="A508" s="78">
        <v>512007</v>
      </c>
      <c r="B508" s="80" t="s">
        <v>2804</v>
      </c>
      <c r="C508" s="56">
        <v>0</v>
      </c>
      <c r="D508" s="56">
        <v>0</v>
      </c>
      <c r="E508" s="56">
        <v>0</v>
      </c>
      <c r="F508" s="27">
        <f t="shared" si="130"/>
        <v>0</v>
      </c>
      <c r="G508" s="56">
        <v>0</v>
      </c>
      <c r="H508" s="77">
        <f t="shared" si="131"/>
        <v>0</v>
      </c>
    </row>
    <row r="509" spans="1:8" ht="12">
      <c r="A509" s="78">
        <v>512009</v>
      </c>
      <c r="B509" s="80" t="s">
        <v>375</v>
      </c>
      <c r="C509" s="56">
        <v>0</v>
      </c>
      <c r="D509" s="56">
        <v>0</v>
      </c>
      <c r="E509" s="56">
        <v>0</v>
      </c>
      <c r="F509" s="27">
        <f t="shared" si="130"/>
        <v>0</v>
      </c>
      <c r="G509" s="56">
        <v>0</v>
      </c>
      <c r="H509" s="77">
        <f t="shared" si="131"/>
        <v>0</v>
      </c>
    </row>
    <row r="510" spans="1:8" ht="12">
      <c r="A510" s="78">
        <v>512010</v>
      </c>
      <c r="B510" s="80" t="s">
        <v>2803</v>
      </c>
      <c r="C510" s="56">
        <v>0</v>
      </c>
      <c r="D510" s="56">
        <v>0</v>
      </c>
      <c r="E510" s="56">
        <v>0</v>
      </c>
      <c r="F510" s="27">
        <f t="shared" si="130"/>
        <v>0</v>
      </c>
      <c r="G510" s="56">
        <v>0</v>
      </c>
      <c r="H510" s="77">
        <f t="shared" si="131"/>
        <v>0</v>
      </c>
    </row>
    <row r="511" spans="1:8" ht="12">
      <c r="A511" s="78">
        <v>512011</v>
      </c>
      <c r="B511" s="80" t="s">
        <v>181</v>
      </c>
      <c r="C511" s="56">
        <v>1850</v>
      </c>
      <c r="D511" s="56">
        <f>5562-959</f>
        <v>4603</v>
      </c>
      <c r="E511" s="56">
        <v>0</v>
      </c>
      <c r="F511" s="27">
        <f t="shared" si="130"/>
        <v>6453</v>
      </c>
      <c r="G511" s="56">
        <v>0</v>
      </c>
      <c r="H511" s="77">
        <f t="shared" si="131"/>
        <v>6453</v>
      </c>
    </row>
    <row r="512" spans="1:8" ht="12">
      <c r="A512" s="78">
        <v>512024</v>
      </c>
      <c r="B512" s="80" t="s">
        <v>376</v>
      </c>
      <c r="C512" s="56">
        <v>0</v>
      </c>
      <c r="D512" s="56">
        <f>7844-7844</f>
        <v>0</v>
      </c>
      <c r="E512" s="56">
        <v>0</v>
      </c>
      <c r="F512" s="27">
        <f t="shared" si="130"/>
        <v>0</v>
      </c>
      <c r="G512" s="56">
        <v>0</v>
      </c>
      <c r="H512" s="77">
        <f t="shared" si="131"/>
        <v>0</v>
      </c>
    </row>
    <row r="513" spans="1:8" ht="12">
      <c r="A513" s="78">
        <v>512090</v>
      </c>
      <c r="B513" s="80" t="s">
        <v>377</v>
      </c>
      <c r="C513" s="56">
        <v>0</v>
      </c>
      <c r="D513" s="56">
        <v>0</v>
      </c>
      <c r="E513" s="56">
        <v>0</v>
      </c>
      <c r="F513" s="27">
        <f t="shared" si="130"/>
        <v>0</v>
      </c>
      <c r="G513" s="56">
        <v>0</v>
      </c>
      <c r="H513" s="77">
        <f t="shared" si="131"/>
        <v>0</v>
      </c>
    </row>
    <row r="514" spans="1:8" ht="22.5">
      <c r="A514" s="78">
        <v>530000</v>
      </c>
      <c r="B514" s="79" t="s">
        <v>378</v>
      </c>
      <c r="C514" s="54">
        <f aca="true" t="shared" si="133" ref="C514:H514">C515+C519+C521+C523+C525+C533+C535</f>
        <v>1657292060</v>
      </c>
      <c r="D514" s="54">
        <f t="shared" si="133"/>
        <v>573873</v>
      </c>
      <c r="E514" s="54">
        <f t="shared" si="133"/>
        <v>1656409677</v>
      </c>
      <c r="F514" s="54">
        <f t="shared" si="133"/>
        <v>1456256</v>
      </c>
      <c r="G514" s="54">
        <f t="shared" si="133"/>
        <v>0</v>
      </c>
      <c r="H514" s="55">
        <f t="shared" si="133"/>
        <v>1456256</v>
      </c>
    </row>
    <row r="515" spans="1:8" ht="12">
      <c r="A515" s="78">
        <v>530400</v>
      </c>
      <c r="B515" s="79" t="s">
        <v>379</v>
      </c>
      <c r="C515" s="54">
        <f aca="true" t="shared" si="134" ref="C515:H515">SUM(C516:C518)</f>
        <v>0</v>
      </c>
      <c r="D515" s="54">
        <f t="shared" si="134"/>
        <v>0</v>
      </c>
      <c r="E515" s="54">
        <f t="shared" si="134"/>
        <v>0</v>
      </c>
      <c r="F515" s="54">
        <f t="shared" si="134"/>
        <v>0</v>
      </c>
      <c r="G515" s="54">
        <f t="shared" si="134"/>
        <v>0</v>
      </c>
      <c r="H515" s="55">
        <f t="shared" si="134"/>
        <v>0</v>
      </c>
    </row>
    <row r="516" spans="1:8" ht="12">
      <c r="A516" s="78">
        <v>530403</v>
      </c>
      <c r="B516" s="80" t="s">
        <v>7</v>
      </c>
      <c r="C516" s="56">
        <v>0</v>
      </c>
      <c r="D516" s="56">
        <v>0</v>
      </c>
      <c r="E516" s="56">
        <v>0</v>
      </c>
      <c r="F516" s="27">
        <f aca="true" t="shared" si="135" ref="F516:F571">+C516+D516-E516</f>
        <v>0</v>
      </c>
      <c r="G516" s="56">
        <v>0</v>
      </c>
      <c r="H516" s="77">
        <f aca="true" t="shared" si="136" ref="H516:H537">+F516</f>
        <v>0</v>
      </c>
    </row>
    <row r="517" spans="1:8" ht="12">
      <c r="A517" s="78">
        <v>530410</v>
      </c>
      <c r="B517" s="80" t="s">
        <v>6</v>
      </c>
      <c r="C517" s="56">
        <v>0</v>
      </c>
      <c r="D517" s="56">
        <v>0</v>
      </c>
      <c r="E517" s="56">
        <v>0</v>
      </c>
      <c r="F517" s="27">
        <f t="shared" si="135"/>
        <v>0</v>
      </c>
      <c r="G517" s="56">
        <v>0</v>
      </c>
      <c r="H517" s="77">
        <f t="shared" si="136"/>
        <v>0</v>
      </c>
    </row>
    <row r="518" spans="1:8" ht="12">
      <c r="A518" s="78">
        <v>530490</v>
      </c>
      <c r="B518" s="80" t="s">
        <v>9</v>
      </c>
      <c r="C518" s="56">
        <v>0</v>
      </c>
      <c r="D518" s="56">
        <v>0</v>
      </c>
      <c r="E518" s="56">
        <v>0</v>
      </c>
      <c r="F518" s="27">
        <f t="shared" si="135"/>
        <v>0</v>
      </c>
      <c r="G518" s="56">
        <v>0</v>
      </c>
      <c r="H518" s="77">
        <f t="shared" si="136"/>
        <v>0</v>
      </c>
    </row>
    <row r="519" spans="1:8" ht="12">
      <c r="A519" s="78">
        <v>530900</v>
      </c>
      <c r="B519" s="79" t="s">
        <v>380</v>
      </c>
      <c r="C519" s="54">
        <f aca="true" t="shared" si="137" ref="C519:H519">SUM(C520)</f>
        <v>0</v>
      </c>
      <c r="D519" s="54">
        <f t="shared" si="137"/>
        <v>0</v>
      </c>
      <c r="E519" s="54">
        <f t="shared" si="137"/>
        <v>0</v>
      </c>
      <c r="F519" s="54">
        <f t="shared" si="137"/>
        <v>0</v>
      </c>
      <c r="G519" s="54">
        <f t="shared" si="137"/>
        <v>0</v>
      </c>
      <c r="H519" s="55">
        <f t="shared" si="137"/>
        <v>0</v>
      </c>
    </row>
    <row r="520" spans="1:8" ht="12">
      <c r="A520" s="78">
        <v>530902</v>
      </c>
      <c r="B520" s="80" t="s">
        <v>92</v>
      </c>
      <c r="C520" s="56">
        <v>0</v>
      </c>
      <c r="D520" s="56">
        <v>0</v>
      </c>
      <c r="E520" s="56">
        <v>0</v>
      </c>
      <c r="F520" s="27">
        <f t="shared" si="135"/>
        <v>0</v>
      </c>
      <c r="G520" s="56">
        <v>0</v>
      </c>
      <c r="H520" s="77">
        <f t="shared" si="136"/>
        <v>0</v>
      </c>
    </row>
    <row r="521" spans="1:8" ht="22.5">
      <c r="A521" s="78">
        <v>531200</v>
      </c>
      <c r="B521" s="79" t="s">
        <v>120</v>
      </c>
      <c r="C521" s="54">
        <f aca="true" t="shared" si="138" ref="C521:H521">SUM(C522)</f>
        <v>0</v>
      </c>
      <c r="D521" s="54">
        <f t="shared" si="138"/>
        <v>0</v>
      </c>
      <c r="E521" s="54">
        <f t="shared" si="138"/>
        <v>0</v>
      </c>
      <c r="F521" s="54">
        <f t="shared" si="138"/>
        <v>0</v>
      </c>
      <c r="G521" s="54">
        <f t="shared" si="138"/>
        <v>0</v>
      </c>
      <c r="H521" s="55">
        <f t="shared" si="138"/>
        <v>0</v>
      </c>
    </row>
    <row r="522" spans="1:8" ht="12">
      <c r="A522" s="78">
        <v>531201</v>
      </c>
      <c r="B522" s="80" t="s">
        <v>116</v>
      </c>
      <c r="C522" s="56">
        <v>0</v>
      </c>
      <c r="D522" s="56">
        <v>0</v>
      </c>
      <c r="E522" s="56">
        <v>0</v>
      </c>
      <c r="F522" s="27">
        <f t="shared" si="135"/>
        <v>0</v>
      </c>
      <c r="G522" s="56">
        <v>0</v>
      </c>
      <c r="H522" s="77">
        <f t="shared" si="136"/>
        <v>0</v>
      </c>
    </row>
    <row r="523" spans="1:8" ht="12">
      <c r="A523" s="78">
        <v>531400</v>
      </c>
      <c r="B523" s="79" t="s">
        <v>197</v>
      </c>
      <c r="C523" s="54">
        <f aca="true" t="shared" si="139" ref="C523:H523">SUM(C524)</f>
        <v>1656745636</v>
      </c>
      <c r="D523" s="54">
        <f t="shared" si="139"/>
        <v>0</v>
      </c>
      <c r="E523" s="54">
        <f t="shared" si="139"/>
        <v>1656170804</v>
      </c>
      <c r="F523" s="54">
        <f t="shared" si="139"/>
        <v>574832</v>
      </c>
      <c r="G523" s="54">
        <f t="shared" si="139"/>
        <v>0</v>
      </c>
      <c r="H523" s="55">
        <f t="shared" si="139"/>
        <v>574832</v>
      </c>
    </row>
    <row r="524" spans="1:8" ht="12">
      <c r="A524" s="78">
        <v>531401</v>
      </c>
      <c r="B524" s="80" t="s">
        <v>381</v>
      </c>
      <c r="C524" s="56">
        <v>1656745636</v>
      </c>
      <c r="D524" s="56">
        <v>0</v>
      </c>
      <c r="E524" s="56">
        <v>1656170804</v>
      </c>
      <c r="F524" s="27">
        <f t="shared" si="135"/>
        <v>574832</v>
      </c>
      <c r="G524" s="56">
        <v>0</v>
      </c>
      <c r="H524" s="77">
        <f t="shared" si="136"/>
        <v>574832</v>
      </c>
    </row>
    <row r="525" spans="1:8" ht="22.5">
      <c r="A525" s="78">
        <v>533000</v>
      </c>
      <c r="B525" s="79" t="s">
        <v>382</v>
      </c>
      <c r="C525" s="54">
        <f aca="true" t="shared" si="140" ref="C525:H525">SUM(C526:C532)</f>
        <v>438827</v>
      </c>
      <c r="D525" s="54">
        <f t="shared" si="140"/>
        <v>472473</v>
      </c>
      <c r="E525" s="54">
        <f t="shared" si="140"/>
        <v>238873</v>
      </c>
      <c r="F525" s="54">
        <f t="shared" si="140"/>
        <v>672427</v>
      </c>
      <c r="G525" s="54">
        <f t="shared" si="140"/>
        <v>0</v>
      </c>
      <c r="H525" s="55">
        <f t="shared" si="140"/>
        <v>672427</v>
      </c>
    </row>
    <row r="526" spans="1:8" ht="12">
      <c r="A526" s="78">
        <v>533001</v>
      </c>
      <c r="B526" s="80" t="s">
        <v>61</v>
      </c>
      <c r="C526" s="56">
        <v>324220</v>
      </c>
      <c r="D526" s="56">
        <v>338271</v>
      </c>
      <c r="E526" s="56">
        <v>238873</v>
      </c>
      <c r="F526" s="27">
        <f aca="true" t="shared" si="141" ref="F526:F532">C526+D526-E526</f>
        <v>423618</v>
      </c>
      <c r="G526" s="56">
        <v>0</v>
      </c>
      <c r="H526" s="77">
        <f t="shared" si="136"/>
        <v>423618</v>
      </c>
    </row>
    <row r="527" spans="1:8" ht="12">
      <c r="A527" s="78">
        <v>533004</v>
      </c>
      <c r="B527" s="80" t="s">
        <v>24</v>
      </c>
      <c r="C527" s="56">
        <v>280</v>
      </c>
      <c r="D527" s="56">
        <v>280</v>
      </c>
      <c r="E527" s="56"/>
      <c r="F527" s="27">
        <f t="shared" si="141"/>
        <v>560</v>
      </c>
      <c r="G527" s="56">
        <v>0</v>
      </c>
      <c r="H527" s="77">
        <f t="shared" si="136"/>
        <v>560</v>
      </c>
    </row>
    <row r="528" spans="1:8" ht="12">
      <c r="A528" s="78">
        <v>533005</v>
      </c>
      <c r="B528" s="80" t="s">
        <v>383</v>
      </c>
      <c r="C528" s="56">
        <v>0</v>
      </c>
      <c r="D528" s="56">
        <v>0</v>
      </c>
      <c r="E528" s="56">
        <v>0</v>
      </c>
      <c r="F528" s="27">
        <f t="shared" si="141"/>
        <v>0</v>
      </c>
      <c r="G528" s="56">
        <v>0</v>
      </c>
      <c r="H528" s="77">
        <f t="shared" si="136"/>
        <v>0</v>
      </c>
    </row>
    <row r="529" spans="1:8" ht="12">
      <c r="A529" s="78">
        <v>533006</v>
      </c>
      <c r="B529" s="80" t="s">
        <v>384</v>
      </c>
      <c r="C529" s="56">
        <v>3145</v>
      </c>
      <c r="D529" s="56">
        <v>11602</v>
      </c>
      <c r="E529" s="56">
        <v>0</v>
      </c>
      <c r="F529" s="27">
        <f t="shared" si="141"/>
        <v>14747</v>
      </c>
      <c r="G529" s="56">
        <v>0</v>
      </c>
      <c r="H529" s="77">
        <f t="shared" si="136"/>
        <v>14747</v>
      </c>
    </row>
    <row r="530" spans="1:8" ht="12">
      <c r="A530" s="78">
        <v>533007</v>
      </c>
      <c r="B530" s="80" t="s">
        <v>126</v>
      </c>
      <c r="C530" s="56">
        <v>95011</v>
      </c>
      <c r="D530" s="56">
        <v>106149</v>
      </c>
      <c r="E530" s="56">
        <v>0</v>
      </c>
      <c r="F530" s="27">
        <f t="shared" si="141"/>
        <v>201160</v>
      </c>
      <c r="G530" s="56">
        <v>0</v>
      </c>
      <c r="H530" s="77">
        <f t="shared" si="136"/>
        <v>201160</v>
      </c>
    </row>
    <row r="531" spans="1:8" ht="12">
      <c r="A531" s="78">
        <v>533008</v>
      </c>
      <c r="B531" s="80" t="s">
        <v>222</v>
      </c>
      <c r="C531" s="56">
        <v>16171</v>
      </c>
      <c r="D531" s="56">
        <v>16171</v>
      </c>
      <c r="E531" s="56">
        <v>0</v>
      </c>
      <c r="F531" s="27">
        <f t="shared" si="141"/>
        <v>32342</v>
      </c>
      <c r="G531" s="56">
        <v>0</v>
      </c>
      <c r="H531" s="77">
        <f t="shared" si="136"/>
        <v>32342</v>
      </c>
    </row>
    <row r="532" spans="1:8" ht="12">
      <c r="A532" s="78">
        <v>533009</v>
      </c>
      <c r="B532" s="80" t="s">
        <v>385</v>
      </c>
      <c r="C532" s="56">
        <v>0</v>
      </c>
      <c r="D532" s="56">
        <v>0</v>
      </c>
      <c r="E532" s="56">
        <f>477-477</f>
        <v>0</v>
      </c>
      <c r="F532" s="27">
        <f t="shared" si="141"/>
        <v>0</v>
      </c>
      <c r="G532" s="56">
        <v>0</v>
      </c>
      <c r="H532" s="77">
        <f t="shared" si="136"/>
        <v>0</v>
      </c>
    </row>
    <row r="533" spans="1:8" ht="22.5">
      <c r="A533" s="78">
        <v>534400</v>
      </c>
      <c r="B533" s="79" t="s">
        <v>386</v>
      </c>
      <c r="C533" s="56">
        <f aca="true" t="shared" si="142" ref="C533:H533">SUM(C534)</f>
        <v>0</v>
      </c>
      <c r="D533" s="56">
        <f t="shared" si="142"/>
        <v>0</v>
      </c>
      <c r="E533" s="56">
        <f t="shared" si="142"/>
        <v>0</v>
      </c>
      <c r="F533" s="56">
        <f t="shared" si="142"/>
        <v>0</v>
      </c>
      <c r="G533" s="56">
        <f t="shared" si="142"/>
        <v>0</v>
      </c>
      <c r="H533" s="57">
        <f t="shared" si="142"/>
        <v>0</v>
      </c>
    </row>
    <row r="534" spans="1:8" ht="12">
      <c r="A534" s="78">
        <v>534405</v>
      </c>
      <c r="B534" s="80" t="s">
        <v>87</v>
      </c>
      <c r="C534" s="56">
        <v>0</v>
      </c>
      <c r="D534" s="56">
        <v>0</v>
      </c>
      <c r="E534" s="56">
        <v>0</v>
      </c>
      <c r="F534" s="27">
        <f t="shared" si="135"/>
        <v>0</v>
      </c>
      <c r="G534" s="56">
        <v>0</v>
      </c>
      <c r="H534" s="77">
        <f t="shared" si="136"/>
        <v>0</v>
      </c>
    </row>
    <row r="535" spans="1:8" ht="12">
      <c r="A535" s="78">
        <v>534500</v>
      </c>
      <c r="B535" s="79" t="s">
        <v>387</v>
      </c>
      <c r="C535" s="54">
        <f aca="true" t="shared" si="143" ref="C535:H535">SUM(C536:C537)</f>
        <v>107597</v>
      </c>
      <c r="D535" s="54">
        <f t="shared" si="143"/>
        <v>101400</v>
      </c>
      <c r="E535" s="54">
        <f t="shared" si="143"/>
        <v>0</v>
      </c>
      <c r="F535" s="54">
        <f t="shared" si="143"/>
        <v>208997</v>
      </c>
      <c r="G535" s="54">
        <f t="shared" si="143"/>
        <v>0</v>
      </c>
      <c r="H535" s="55">
        <f t="shared" si="143"/>
        <v>208997</v>
      </c>
    </row>
    <row r="536" spans="1:8" ht="12">
      <c r="A536" s="78">
        <v>534507</v>
      </c>
      <c r="B536" s="80" t="s">
        <v>102</v>
      </c>
      <c r="C536" s="56">
        <v>0</v>
      </c>
      <c r="D536" s="56">
        <v>0</v>
      </c>
      <c r="E536" s="56">
        <v>0</v>
      </c>
      <c r="F536" s="27">
        <f t="shared" si="135"/>
        <v>0</v>
      </c>
      <c r="G536" s="56">
        <v>0</v>
      </c>
      <c r="H536" s="77">
        <f t="shared" si="136"/>
        <v>0</v>
      </c>
    </row>
    <row r="537" spans="1:8" ht="12">
      <c r="A537" s="78">
        <v>534508</v>
      </c>
      <c r="B537" s="80" t="s">
        <v>103</v>
      </c>
      <c r="C537" s="56">
        <v>107597</v>
      </c>
      <c r="D537" s="56">
        <f>102224-824</f>
        <v>101400</v>
      </c>
      <c r="E537" s="56">
        <v>0</v>
      </c>
      <c r="F537" s="27">
        <f t="shared" si="135"/>
        <v>208997</v>
      </c>
      <c r="G537" s="56">
        <v>0</v>
      </c>
      <c r="H537" s="77">
        <f t="shared" si="136"/>
        <v>208997</v>
      </c>
    </row>
    <row r="538" spans="1:8" ht="12">
      <c r="A538" s="78">
        <v>540000</v>
      </c>
      <c r="B538" s="79" t="s">
        <v>388</v>
      </c>
      <c r="C538" s="54">
        <f aca="true" t="shared" si="144" ref="C538:H538">C539+C545+C563+C569+C572+C577+C585</f>
        <v>2813390278</v>
      </c>
      <c r="D538" s="54">
        <f t="shared" si="144"/>
        <v>3287156971</v>
      </c>
      <c r="E538" s="54">
        <f t="shared" si="144"/>
        <v>489282438</v>
      </c>
      <c r="F538" s="54">
        <f t="shared" si="144"/>
        <v>5611264811</v>
      </c>
      <c r="G538" s="54">
        <f t="shared" si="144"/>
        <v>0</v>
      </c>
      <c r="H538" s="55">
        <f t="shared" si="144"/>
        <v>5611264811</v>
      </c>
    </row>
    <row r="539" spans="1:8" ht="12">
      <c r="A539" s="78">
        <v>540100</v>
      </c>
      <c r="B539" s="79" t="s">
        <v>389</v>
      </c>
      <c r="C539" s="54">
        <f aca="true" t="shared" si="145" ref="C539:H539">SUM(C540:C544)</f>
        <v>4369084</v>
      </c>
      <c r="D539" s="54">
        <f t="shared" si="145"/>
        <v>1491800</v>
      </c>
      <c r="E539" s="54">
        <f t="shared" si="145"/>
        <v>356090</v>
      </c>
      <c r="F539" s="54">
        <f t="shared" si="145"/>
        <v>5504794</v>
      </c>
      <c r="G539" s="54">
        <f t="shared" si="145"/>
        <v>0</v>
      </c>
      <c r="H539" s="55">
        <f t="shared" si="145"/>
        <v>5504794</v>
      </c>
    </row>
    <row r="540" spans="1:8" ht="12">
      <c r="A540" s="78">
        <v>540102</v>
      </c>
      <c r="B540" s="80" t="s">
        <v>390</v>
      </c>
      <c r="C540" s="56">
        <v>0</v>
      </c>
      <c r="D540" s="56">
        <v>77090</v>
      </c>
      <c r="E540" s="56">
        <v>77090</v>
      </c>
      <c r="F540" s="27">
        <f t="shared" si="135"/>
        <v>0</v>
      </c>
      <c r="G540" s="56">
        <v>0</v>
      </c>
      <c r="H540" s="77">
        <f aca="true" t="shared" si="146" ref="H540:H586">+F540</f>
        <v>0</v>
      </c>
    </row>
    <row r="541" spans="1:8" ht="22.5">
      <c r="A541" s="78">
        <v>540103</v>
      </c>
      <c r="B541" s="80" t="s">
        <v>391</v>
      </c>
      <c r="C541" s="56">
        <v>880567</v>
      </c>
      <c r="D541" s="56">
        <v>779000</v>
      </c>
      <c r="E541" s="56">
        <v>279000</v>
      </c>
      <c r="F541" s="27">
        <f t="shared" si="135"/>
        <v>1380567</v>
      </c>
      <c r="G541" s="56">
        <v>0</v>
      </c>
      <c r="H541" s="77">
        <f t="shared" si="146"/>
        <v>1380567</v>
      </c>
    </row>
    <row r="542" spans="1:8" ht="22.5">
      <c r="A542" s="78">
        <v>540104</v>
      </c>
      <c r="B542" s="80" t="s">
        <v>392</v>
      </c>
      <c r="C542" s="56">
        <v>3488517</v>
      </c>
      <c r="D542" s="56">
        <v>635710</v>
      </c>
      <c r="E542" s="56">
        <v>0</v>
      </c>
      <c r="F542" s="27">
        <f t="shared" si="135"/>
        <v>4124227</v>
      </c>
      <c r="G542" s="56">
        <v>0</v>
      </c>
      <c r="H542" s="77">
        <f t="shared" si="146"/>
        <v>4124227</v>
      </c>
    </row>
    <row r="543" spans="1:8" ht="12">
      <c r="A543" s="78">
        <v>540105</v>
      </c>
      <c r="B543" s="80" t="s">
        <v>393</v>
      </c>
      <c r="C543" s="56">
        <v>0</v>
      </c>
      <c r="D543" s="56">
        <v>0</v>
      </c>
      <c r="E543" s="56">
        <v>0</v>
      </c>
      <c r="F543" s="27">
        <f t="shared" si="135"/>
        <v>0</v>
      </c>
      <c r="G543" s="56">
        <v>0</v>
      </c>
      <c r="H543" s="77">
        <f t="shared" si="146"/>
        <v>0</v>
      </c>
    </row>
    <row r="544" spans="1:8" ht="12">
      <c r="A544" s="78">
        <v>540190</v>
      </c>
      <c r="B544" s="80" t="s">
        <v>394</v>
      </c>
      <c r="C544" s="56">
        <v>0</v>
      </c>
      <c r="D544" s="56">
        <v>0</v>
      </c>
      <c r="E544" s="56">
        <v>0</v>
      </c>
      <c r="F544" s="27">
        <f t="shared" si="135"/>
        <v>0</v>
      </c>
      <c r="G544" s="56">
        <v>0</v>
      </c>
      <c r="H544" s="77">
        <f t="shared" si="146"/>
        <v>0</v>
      </c>
    </row>
    <row r="545" spans="1:8" ht="12">
      <c r="A545" s="78">
        <v>540300</v>
      </c>
      <c r="B545" s="79" t="s">
        <v>395</v>
      </c>
      <c r="C545" s="54">
        <f aca="true" t="shared" si="147" ref="C545:H545">SUM(C546:C562)</f>
        <v>655524132</v>
      </c>
      <c r="D545" s="54">
        <f t="shared" si="147"/>
        <v>1020823204</v>
      </c>
      <c r="E545" s="54">
        <f t="shared" si="147"/>
        <v>405705646</v>
      </c>
      <c r="F545" s="54">
        <f t="shared" si="147"/>
        <v>1270641690</v>
      </c>
      <c r="G545" s="54">
        <f t="shared" si="147"/>
        <v>0</v>
      </c>
      <c r="H545" s="55">
        <f t="shared" si="147"/>
        <v>1270641690</v>
      </c>
    </row>
    <row r="546" spans="1:8" ht="12">
      <c r="A546" s="78">
        <v>540301</v>
      </c>
      <c r="B546" s="80" t="s">
        <v>396</v>
      </c>
      <c r="C546" s="56">
        <v>285091720</v>
      </c>
      <c r="D546" s="56">
        <v>273830895</v>
      </c>
      <c r="E546" s="56">
        <v>40504577</v>
      </c>
      <c r="F546" s="27">
        <f t="shared" si="135"/>
        <v>518418038</v>
      </c>
      <c r="G546" s="56">
        <v>0</v>
      </c>
      <c r="H546" s="77">
        <f t="shared" si="146"/>
        <v>518418038</v>
      </c>
    </row>
    <row r="547" spans="1:8" ht="12">
      <c r="A547" s="78">
        <v>540302</v>
      </c>
      <c r="B547" s="80" t="s">
        <v>397</v>
      </c>
      <c r="C547" s="56">
        <v>0</v>
      </c>
      <c r="D547" s="56">
        <v>0</v>
      </c>
      <c r="E547" s="56">
        <v>0</v>
      </c>
      <c r="F547" s="27">
        <f t="shared" si="135"/>
        <v>0</v>
      </c>
      <c r="G547" s="56">
        <v>0</v>
      </c>
      <c r="H547" s="77">
        <f t="shared" si="146"/>
        <v>0</v>
      </c>
    </row>
    <row r="548" spans="1:8" ht="12">
      <c r="A548" s="78">
        <v>540303</v>
      </c>
      <c r="B548" s="80" t="s">
        <v>398</v>
      </c>
      <c r="C548" s="56">
        <v>0</v>
      </c>
      <c r="D548" s="56">
        <v>0</v>
      </c>
      <c r="E548" s="56">
        <v>0</v>
      </c>
      <c r="F548" s="27">
        <f t="shared" si="135"/>
        <v>0</v>
      </c>
      <c r="G548" s="56">
        <v>0</v>
      </c>
      <c r="H548" s="77">
        <f t="shared" si="146"/>
        <v>0</v>
      </c>
    </row>
    <row r="549" spans="1:8" ht="12">
      <c r="A549" s="78">
        <v>540304</v>
      </c>
      <c r="B549" s="80" t="s">
        <v>399</v>
      </c>
      <c r="C549" s="56">
        <v>214593083</v>
      </c>
      <c r="D549" s="56">
        <v>226494749</v>
      </c>
      <c r="E549" s="56">
        <v>15050496</v>
      </c>
      <c r="F549" s="27">
        <f t="shared" si="135"/>
        <v>426037336</v>
      </c>
      <c r="G549" s="56">
        <v>0</v>
      </c>
      <c r="H549" s="77">
        <f t="shared" si="146"/>
        <v>426037336</v>
      </c>
    </row>
    <row r="550" spans="1:8" ht="12">
      <c r="A550" s="78">
        <v>540305</v>
      </c>
      <c r="B550" s="80" t="s">
        <v>400</v>
      </c>
      <c r="C550" s="56">
        <v>0</v>
      </c>
      <c r="D550" s="56">
        <v>0</v>
      </c>
      <c r="E550" s="56">
        <v>0</v>
      </c>
      <c r="F550" s="27">
        <f t="shared" si="135"/>
        <v>0</v>
      </c>
      <c r="G550" s="56">
        <v>0</v>
      </c>
      <c r="H550" s="77">
        <f t="shared" si="146"/>
        <v>0</v>
      </c>
    </row>
    <row r="551" spans="1:8" ht="12">
      <c r="A551" s="78">
        <v>540306</v>
      </c>
      <c r="B551" s="80" t="s">
        <v>401</v>
      </c>
      <c r="C551" s="56">
        <v>0</v>
      </c>
      <c r="D551" s="56">
        <v>14546805</v>
      </c>
      <c r="E551" s="56">
        <v>14546805</v>
      </c>
      <c r="F551" s="27">
        <f t="shared" si="135"/>
        <v>0</v>
      </c>
      <c r="G551" s="56">
        <v>0</v>
      </c>
      <c r="H551" s="77">
        <f t="shared" si="146"/>
        <v>0</v>
      </c>
    </row>
    <row r="552" spans="1:8" ht="12">
      <c r="A552" s="78">
        <v>540308</v>
      </c>
      <c r="B552" s="80" t="s">
        <v>402</v>
      </c>
      <c r="C552" s="56">
        <v>0</v>
      </c>
      <c r="D552" s="56">
        <v>326154974</v>
      </c>
      <c r="E552" s="56">
        <v>326154974</v>
      </c>
      <c r="F552" s="27">
        <f t="shared" si="135"/>
        <v>0</v>
      </c>
      <c r="G552" s="56">
        <v>0</v>
      </c>
      <c r="H552" s="77">
        <f t="shared" si="146"/>
        <v>0</v>
      </c>
    </row>
    <row r="553" spans="1:8" ht="12">
      <c r="A553" s="78">
        <v>540309</v>
      </c>
      <c r="B553" s="80" t="s">
        <v>403</v>
      </c>
      <c r="C553" s="56">
        <v>0</v>
      </c>
      <c r="D553" s="56">
        <v>0</v>
      </c>
      <c r="E553" s="56">
        <v>0</v>
      </c>
      <c r="F553" s="27">
        <f t="shared" si="135"/>
        <v>0</v>
      </c>
      <c r="G553" s="56">
        <v>0</v>
      </c>
      <c r="H553" s="77">
        <f t="shared" si="146"/>
        <v>0</v>
      </c>
    </row>
    <row r="554" spans="1:8" ht="12">
      <c r="A554" s="78">
        <v>540311</v>
      </c>
      <c r="B554" s="80" t="s">
        <v>404</v>
      </c>
      <c r="C554" s="56">
        <v>153527476</v>
      </c>
      <c r="D554" s="56">
        <v>176916554</v>
      </c>
      <c r="E554" s="56">
        <v>9448794</v>
      </c>
      <c r="F554" s="27">
        <f t="shared" si="135"/>
        <v>320995236</v>
      </c>
      <c r="G554" s="56">
        <v>0</v>
      </c>
      <c r="H554" s="77">
        <f t="shared" si="146"/>
        <v>320995236</v>
      </c>
    </row>
    <row r="555" spans="1:8" ht="22.5">
      <c r="A555" s="78">
        <v>540312</v>
      </c>
      <c r="B555" s="80" t="s">
        <v>405</v>
      </c>
      <c r="C555" s="56">
        <v>0</v>
      </c>
      <c r="D555" s="56">
        <v>0</v>
      </c>
      <c r="E555" s="56">
        <v>0</v>
      </c>
      <c r="F555" s="27">
        <f t="shared" si="135"/>
        <v>0</v>
      </c>
      <c r="G555" s="56">
        <v>0</v>
      </c>
      <c r="H555" s="77">
        <f t="shared" si="146"/>
        <v>0</v>
      </c>
    </row>
    <row r="556" spans="1:8" ht="22.5">
      <c r="A556" s="78">
        <v>540313</v>
      </c>
      <c r="B556" s="80" t="s">
        <v>406</v>
      </c>
      <c r="C556" s="56">
        <v>0</v>
      </c>
      <c r="D556" s="56">
        <v>0</v>
      </c>
      <c r="E556" s="56">
        <v>0</v>
      </c>
      <c r="F556" s="27">
        <f t="shared" si="135"/>
        <v>0</v>
      </c>
      <c r="G556" s="56">
        <v>0</v>
      </c>
      <c r="H556" s="77">
        <f t="shared" si="146"/>
        <v>0</v>
      </c>
    </row>
    <row r="557" spans="1:8" ht="12">
      <c r="A557" s="78">
        <v>540315</v>
      </c>
      <c r="B557" s="80" t="s">
        <v>407</v>
      </c>
      <c r="C557" s="56">
        <v>0</v>
      </c>
      <c r="D557" s="56">
        <v>0</v>
      </c>
      <c r="E557" s="56">
        <v>0</v>
      </c>
      <c r="F557" s="27">
        <f t="shared" si="135"/>
        <v>0</v>
      </c>
      <c r="G557" s="56">
        <v>0</v>
      </c>
      <c r="H557" s="77">
        <f t="shared" si="146"/>
        <v>0</v>
      </c>
    </row>
    <row r="558" spans="1:8" ht="22.5">
      <c r="A558" s="78">
        <v>540318</v>
      </c>
      <c r="B558" s="80" t="s">
        <v>408</v>
      </c>
      <c r="C558" s="56">
        <v>2311853</v>
      </c>
      <c r="D558" s="56">
        <v>2311852</v>
      </c>
      <c r="E558" s="56">
        <v>0</v>
      </c>
      <c r="F558" s="27">
        <f t="shared" si="135"/>
        <v>4623705</v>
      </c>
      <c r="G558" s="56">
        <v>0</v>
      </c>
      <c r="H558" s="77">
        <f t="shared" si="146"/>
        <v>4623705</v>
      </c>
    </row>
    <row r="559" spans="1:8" ht="12">
      <c r="A559" s="78">
        <v>540322</v>
      </c>
      <c r="B559" s="80" t="s">
        <v>409</v>
      </c>
      <c r="C559" s="56">
        <v>0</v>
      </c>
      <c r="D559" s="56">
        <v>0</v>
      </c>
      <c r="E559" s="56">
        <v>0</v>
      </c>
      <c r="F559" s="27">
        <f t="shared" si="135"/>
        <v>0</v>
      </c>
      <c r="G559" s="56">
        <v>0</v>
      </c>
      <c r="H559" s="77">
        <f t="shared" si="146"/>
        <v>0</v>
      </c>
    </row>
    <row r="560" spans="1:8" ht="22.5">
      <c r="A560" s="78">
        <v>540325</v>
      </c>
      <c r="B560" s="80" t="s">
        <v>410</v>
      </c>
      <c r="C560" s="56">
        <v>0</v>
      </c>
      <c r="D560" s="56">
        <v>0</v>
      </c>
      <c r="E560" s="56">
        <v>0</v>
      </c>
      <c r="F560" s="27">
        <f t="shared" si="135"/>
        <v>0</v>
      </c>
      <c r="G560" s="56">
        <v>0</v>
      </c>
      <c r="H560" s="77">
        <f t="shared" si="146"/>
        <v>0</v>
      </c>
    </row>
    <row r="561" spans="1:8" ht="12">
      <c r="A561" s="78">
        <v>540329</v>
      </c>
      <c r="B561" s="80" t="s">
        <v>411</v>
      </c>
      <c r="C561" s="56">
        <v>0</v>
      </c>
      <c r="D561" s="56">
        <v>567375</v>
      </c>
      <c r="E561" s="56">
        <v>0</v>
      </c>
      <c r="F561" s="27">
        <f t="shared" si="135"/>
        <v>567375</v>
      </c>
      <c r="G561" s="56">
        <v>0</v>
      </c>
      <c r="H561" s="77">
        <f t="shared" si="146"/>
        <v>567375</v>
      </c>
    </row>
    <row r="562" spans="1:8" ht="22.5">
      <c r="A562" s="78">
        <v>540390</v>
      </c>
      <c r="B562" s="80" t="s">
        <v>412</v>
      </c>
      <c r="C562" s="56">
        <v>0</v>
      </c>
      <c r="D562" s="56">
        <v>0</v>
      </c>
      <c r="E562" s="56">
        <v>0</v>
      </c>
      <c r="F562" s="27">
        <f t="shared" si="135"/>
        <v>0</v>
      </c>
      <c r="G562" s="56">
        <v>0</v>
      </c>
      <c r="H562" s="77">
        <f t="shared" si="146"/>
        <v>0</v>
      </c>
    </row>
    <row r="563" spans="1:8" ht="12">
      <c r="A563" s="78">
        <v>540400</v>
      </c>
      <c r="B563" s="79" t="s">
        <v>413</v>
      </c>
      <c r="C563" s="54">
        <f aca="true" t="shared" si="148" ref="C563:H563">SUM(C564:C568)</f>
        <v>0</v>
      </c>
      <c r="D563" s="54">
        <f t="shared" si="148"/>
        <v>0</v>
      </c>
      <c r="E563" s="54">
        <f t="shared" si="148"/>
        <v>0</v>
      </c>
      <c r="F563" s="54">
        <f t="shared" si="148"/>
        <v>0</v>
      </c>
      <c r="G563" s="54">
        <f t="shared" si="148"/>
        <v>0</v>
      </c>
      <c r="H563" s="55">
        <f t="shared" si="148"/>
        <v>0</v>
      </c>
    </row>
    <row r="564" spans="1:8" ht="12">
      <c r="A564" s="78">
        <v>540401</v>
      </c>
      <c r="B564" s="80" t="s">
        <v>414</v>
      </c>
      <c r="C564" s="56">
        <v>0</v>
      </c>
      <c r="D564" s="56">
        <v>0</v>
      </c>
      <c r="E564" s="56">
        <v>0</v>
      </c>
      <c r="F564" s="27">
        <f t="shared" si="135"/>
        <v>0</v>
      </c>
      <c r="G564" s="56">
        <v>0</v>
      </c>
      <c r="H564" s="77">
        <f t="shared" si="146"/>
        <v>0</v>
      </c>
    </row>
    <row r="565" spans="1:8" ht="12">
      <c r="A565" s="78">
        <v>540402</v>
      </c>
      <c r="B565" s="80" t="s">
        <v>415</v>
      </c>
      <c r="C565" s="56">
        <v>0</v>
      </c>
      <c r="D565" s="56">
        <v>0</v>
      </c>
      <c r="E565" s="56">
        <v>0</v>
      </c>
      <c r="F565" s="27">
        <f t="shared" si="135"/>
        <v>0</v>
      </c>
      <c r="G565" s="56">
        <v>0</v>
      </c>
      <c r="H565" s="77">
        <f t="shared" si="146"/>
        <v>0</v>
      </c>
    </row>
    <row r="566" spans="1:8" ht="12">
      <c r="A566" s="78">
        <v>540403</v>
      </c>
      <c r="B566" s="80" t="s">
        <v>416</v>
      </c>
      <c r="C566" s="56">
        <v>0</v>
      </c>
      <c r="D566" s="56">
        <v>0</v>
      </c>
      <c r="E566" s="56">
        <v>0</v>
      </c>
      <c r="F566" s="27">
        <f t="shared" si="135"/>
        <v>0</v>
      </c>
      <c r="G566" s="56">
        <v>0</v>
      </c>
      <c r="H566" s="77">
        <f t="shared" si="146"/>
        <v>0</v>
      </c>
    </row>
    <row r="567" spans="1:8" ht="12">
      <c r="A567" s="78">
        <v>540404</v>
      </c>
      <c r="B567" s="80" t="s">
        <v>417</v>
      </c>
      <c r="C567" s="56">
        <v>0</v>
      </c>
      <c r="D567" s="56">
        <v>0</v>
      </c>
      <c r="E567" s="56">
        <v>0</v>
      </c>
      <c r="F567" s="27">
        <f t="shared" si="135"/>
        <v>0</v>
      </c>
      <c r="G567" s="56">
        <v>0</v>
      </c>
      <c r="H567" s="77">
        <f t="shared" si="146"/>
        <v>0</v>
      </c>
    </row>
    <row r="568" spans="1:8" ht="22.5">
      <c r="A568" s="78">
        <v>540490</v>
      </c>
      <c r="B568" s="80" t="s">
        <v>418</v>
      </c>
      <c r="C568" s="56">
        <v>0</v>
      </c>
      <c r="D568" s="56">
        <v>0</v>
      </c>
      <c r="E568" s="56">
        <v>0</v>
      </c>
      <c r="F568" s="27">
        <f t="shared" si="135"/>
        <v>0</v>
      </c>
      <c r="G568" s="56">
        <v>0</v>
      </c>
      <c r="H568" s="77">
        <f t="shared" si="146"/>
        <v>0</v>
      </c>
    </row>
    <row r="569" spans="1:8" ht="12">
      <c r="A569" s="78">
        <v>540700</v>
      </c>
      <c r="B569" s="79" t="s">
        <v>419</v>
      </c>
      <c r="C569" s="54">
        <f aca="true" t="shared" si="149" ref="C569:H569">SUM(C570:C571)</f>
        <v>0</v>
      </c>
      <c r="D569" s="54">
        <f t="shared" si="149"/>
        <v>0</v>
      </c>
      <c r="E569" s="54">
        <f t="shared" si="149"/>
        <v>0</v>
      </c>
      <c r="F569" s="54">
        <f t="shared" si="149"/>
        <v>0</v>
      </c>
      <c r="G569" s="54">
        <f t="shared" si="149"/>
        <v>0</v>
      </c>
      <c r="H569" s="55">
        <f t="shared" si="149"/>
        <v>0</v>
      </c>
    </row>
    <row r="570" spans="1:8" ht="12">
      <c r="A570" s="78">
        <v>540705</v>
      </c>
      <c r="B570" s="80" t="s">
        <v>420</v>
      </c>
      <c r="C570" s="56">
        <v>0</v>
      </c>
      <c r="D570" s="56">
        <v>0</v>
      </c>
      <c r="E570" s="56">
        <v>0</v>
      </c>
      <c r="F570" s="27">
        <f t="shared" si="135"/>
        <v>0</v>
      </c>
      <c r="G570" s="56">
        <v>0</v>
      </c>
      <c r="H570" s="77">
        <f t="shared" si="146"/>
        <v>0</v>
      </c>
    </row>
    <row r="571" spans="1:8" ht="12">
      <c r="A571" s="78">
        <v>540706</v>
      </c>
      <c r="B571" s="80" t="s">
        <v>421</v>
      </c>
      <c r="C571" s="56">
        <v>0</v>
      </c>
      <c r="D571" s="56">
        <v>0</v>
      </c>
      <c r="E571" s="56">
        <v>0</v>
      </c>
      <c r="F571" s="27">
        <f t="shared" si="135"/>
        <v>0</v>
      </c>
      <c r="G571" s="56">
        <v>0</v>
      </c>
      <c r="H571" s="77">
        <f t="shared" si="146"/>
        <v>0</v>
      </c>
    </row>
    <row r="572" spans="1:8" ht="12">
      <c r="A572" s="78">
        <v>540800</v>
      </c>
      <c r="B572" s="79" t="s">
        <v>422</v>
      </c>
      <c r="C572" s="54">
        <f aca="true" t="shared" si="150" ref="C572:H572">SUM(C573:C576)</f>
        <v>2153497062</v>
      </c>
      <c r="D572" s="54">
        <f t="shared" si="150"/>
        <v>2264206257</v>
      </c>
      <c r="E572" s="54">
        <f t="shared" si="150"/>
        <v>82584992</v>
      </c>
      <c r="F572" s="54">
        <f t="shared" si="150"/>
        <v>4335118327</v>
      </c>
      <c r="G572" s="54">
        <f t="shared" si="150"/>
        <v>0</v>
      </c>
      <c r="H572" s="55">
        <f t="shared" si="150"/>
        <v>4335118327</v>
      </c>
    </row>
    <row r="573" spans="1:8" ht="12">
      <c r="A573" s="78">
        <v>540802</v>
      </c>
      <c r="B573" s="80" t="s">
        <v>423</v>
      </c>
      <c r="C573" s="56">
        <v>1146291138</v>
      </c>
      <c r="D573" s="56">
        <v>1212375783</v>
      </c>
      <c r="E573" s="56">
        <v>41292496</v>
      </c>
      <c r="F573" s="27">
        <f aca="true" t="shared" si="151" ref="F573:F636">+C573+D573-E573</f>
        <v>2317374425</v>
      </c>
      <c r="G573" s="56">
        <v>0</v>
      </c>
      <c r="H573" s="77">
        <f t="shared" si="146"/>
        <v>2317374425</v>
      </c>
    </row>
    <row r="574" spans="1:8" ht="12">
      <c r="A574" s="78">
        <v>540806</v>
      </c>
      <c r="B574" s="80" t="s">
        <v>424</v>
      </c>
      <c r="C574" s="56">
        <v>687892057</v>
      </c>
      <c r="D574" s="56">
        <v>729877730</v>
      </c>
      <c r="E574" s="56">
        <v>41292496</v>
      </c>
      <c r="F574" s="27">
        <f t="shared" si="151"/>
        <v>1376477291</v>
      </c>
      <c r="G574" s="56">
        <v>0</v>
      </c>
      <c r="H574" s="77">
        <f t="shared" si="146"/>
        <v>1376477291</v>
      </c>
    </row>
    <row r="575" spans="1:8" ht="12">
      <c r="A575" s="78">
        <v>540812</v>
      </c>
      <c r="B575" s="80" t="s">
        <v>425</v>
      </c>
      <c r="C575" s="56">
        <v>319313867</v>
      </c>
      <c r="D575" s="56">
        <v>321952744</v>
      </c>
      <c r="E575" s="56">
        <v>0</v>
      </c>
      <c r="F575" s="27">
        <f t="shared" si="151"/>
        <v>641266611</v>
      </c>
      <c r="G575" s="56">
        <v>0</v>
      </c>
      <c r="H575" s="77">
        <f t="shared" si="146"/>
        <v>641266611</v>
      </c>
    </row>
    <row r="576" spans="1:8" ht="12">
      <c r="A576" s="78">
        <v>540816</v>
      </c>
      <c r="B576" s="80" t="s">
        <v>426</v>
      </c>
      <c r="C576" s="56">
        <v>0</v>
      </c>
      <c r="D576" s="56">
        <v>0</v>
      </c>
      <c r="E576" s="56">
        <v>0</v>
      </c>
      <c r="F576" s="27">
        <f t="shared" si="151"/>
        <v>0</v>
      </c>
      <c r="G576" s="56">
        <v>0</v>
      </c>
      <c r="H576" s="77">
        <f t="shared" si="146"/>
        <v>0</v>
      </c>
    </row>
    <row r="577" spans="1:8" ht="12">
      <c r="A577" s="78">
        <v>541100</v>
      </c>
      <c r="B577" s="79" t="s">
        <v>427</v>
      </c>
      <c r="C577" s="54">
        <f aca="true" t="shared" si="152" ref="C577:H577">SUM(C578:C584)</f>
        <v>0</v>
      </c>
      <c r="D577" s="54">
        <f t="shared" si="152"/>
        <v>0</v>
      </c>
      <c r="E577" s="54">
        <f t="shared" si="152"/>
        <v>0</v>
      </c>
      <c r="F577" s="54">
        <f t="shared" si="152"/>
        <v>0</v>
      </c>
      <c r="G577" s="54">
        <f t="shared" si="152"/>
        <v>0</v>
      </c>
      <c r="H577" s="55">
        <f t="shared" si="152"/>
        <v>0</v>
      </c>
    </row>
    <row r="578" spans="1:8" ht="12">
      <c r="A578" s="78">
        <v>541101</v>
      </c>
      <c r="B578" s="80" t="s">
        <v>396</v>
      </c>
      <c r="C578" s="56">
        <v>0</v>
      </c>
      <c r="D578" s="56">
        <v>0</v>
      </c>
      <c r="E578" s="56">
        <v>0</v>
      </c>
      <c r="F578" s="27">
        <f t="shared" si="151"/>
        <v>0</v>
      </c>
      <c r="G578" s="56">
        <v>0</v>
      </c>
      <c r="H578" s="77">
        <f t="shared" si="146"/>
        <v>0</v>
      </c>
    </row>
    <row r="579" spans="1:8" ht="12">
      <c r="A579" s="78">
        <v>541104</v>
      </c>
      <c r="B579" s="80" t="s">
        <v>428</v>
      </c>
      <c r="C579" s="56">
        <v>0</v>
      </c>
      <c r="D579" s="56">
        <v>0</v>
      </c>
      <c r="E579" s="56">
        <v>0</v>
      </c>
      <c r="F579" s="27">
        <f t="shared" si="151"/>
        <v>0</v>
      </c>
      <c r="G579" s="56">
        <v>0</v>
      </c>
      <c r="H579" s="77">
        <f t="shared" si="146"/>
        <v>0</v>
      </c>
    </row>
    <row r="580" spans="1:8" ht="12">
      <c r="A580" s="78">
        <v>541106</v>
      </c>
      <c r="B580" s="80" t="s">
        <v>429</v>
      </c>
      <c r="C580" s="56">
        <v>0</v>
      </c>
      <c r="D580" s="56">
        <v>0</v>
      </c>
      <c r="E580" s="56">
        <v>0</v>
      </c>
      <c r="F580" s="27">
        <f t="shared" si="151"/>
        <v>0</v>
      </c>
      <c r="G580" s="56">
        <v>0</v>
      </c>
      <c r="H580" s="77">
        <f t="shared" si="146"/>
        <v>0</v>
      </c>
    </row>
    <row r="581" spans="1:8" ht="12">
      <c r="A581" s="78">
        <v>541108</v>
      </c>
      <c r="B581" s="80" t="s">
        <v>402</v>
      </c>
      <c r="C581" s="56">
        <v>0</v>
      </c>
      <c r="D581" s="56">
        <v>0</v>
      </c>
      <c r="E581" s="56">
        <v>0</v>
      </c>
      <c r="F581" s="27">
        <f t="shared" si="151"/>
        <v>0</v>
      </c>
      <c r="G581" s="56">
        <v>0</v>
      </c>
      <c r="H581" s="77">
        <f t="shared" si="146"/>
        <v>0</v>
      </c>
    </row>
    <row r="582" spans="1:8" ht="12">
      <c r="A582" s="78">
        <v>541111</v>
      </c>
      <c r="B582" s="80" t="s">
        <v>404</v>
      </c>
      <c r="C582" s="56">
        <v>0</v>
      </c>
      <c r="D582" s="56">
        <v>0</v>
      </c>
      <c r="E582" s="56">
        <v>0</v>
      </c>
      <c r="F582" s="27">
        <f t="shared" si="151"/>
        <v>0</v>
      </c>
      <c r="G582" s="56">
        <v>0</v>
      </c>
      <c r="H582" s="77">
        <f t="shared" si="146"/>
        <v>0</v>
      </c>
    </row>
    <row r="583" spans="1:8" ht="12">
      <c r="A583" s="78">
        <v>541115</v>
      </c>
      <c r="B583" s="80" t="s">
        <v>407</v>
      </c>
      <c r="C583" s="56">
        <v>0</v>
      </c>
      <c r="D583" s="56">
        <v>0</v>
      </c>
      <c r="E583" s="56">
        <v>0</v>
      </c>
      <c r="F583" s="27">
        <f t="shared" si="151"/>
        <v>0</v>
      </c>
      <c r="G583" s="56">
        <v>0</v>
      </c>
      <c r="H583" s="77">
        <f t="shared" si="146"/>
        <v>0</v>
      </c>
    </row>
    <row r="584" spans="1:8" ht="12">
      <c r="A584" s="78">
        <v>541122</v>
      </c>
      <c r="B584" s="80" t="s">
        <v>430</v>
      </c>
      <c r="C584" s="56">
        <v>0</v>
      </c>
      <c r="D584" s="56">
        <v>0</v>
      </c>
      <c r="E584" s="56">
        <v>0</v>
      </c>
      <c r="F584" s="27">
        <f t="shared" si="151"/>
        <v>0</v>
      </c>
      <c r="G584" s="56">
        <v>0</v>
      </c>
      <c r="H584" s="77">
        <f t="shared" si="146"/>
        <v>0</v>
      </c>
    </row>
    <row r="585" spans="1:8" ht="12">
      <c r="A585" s="78">
        <v>541700</v>
      </c>
      <c r="B585" s="79" t="s">
        <v>431</v>
      </c>
      <c r="C585" s="54">
        <f aca="true" t="shared" si="153" ref="C585:H585">SUM(C586)</f>
        <v>0</v>
      </c>
      <c r="D585" s="54">
        <f t="shared" si="153"/>
        <v>635710</v>
      </c>
      <c r="E585" s="54">
        <f t="shared" si="153"/>
        <v>635710</v>
      </c>
      <c r="F585" s="54">
        <f t="shared" si="153"/>
        <v>0</v>
      </c>
      <c r="G585" s="54">
        <f t="shared" si="153"/>
        <v>0</v>
      </c>
      <c r="H585" s="55">
        <f t="shared" si="153"/>
        <v>0</v>
      </c>
    </row>
    <row r="586" spans="1:8" ht="12">
      <c r="A586" s="78">
        <v>541702</v>
      </c>
      <c r="B586" s="80" t="s">
        <v>432</v>
      </c>
      <c r="C586" s="56">
        <v>0</v>
      </c>
      <c r="D586" s="56">
        <v>635710</v>
      </c>
      <c r="E586" s="56">
        <v>635710</v>
      </c>
      <c r="F586" s="27">
        <f t="shared" si="151"/>
        <v>0</v>
      </c>
      <c r="G586" s="56">
        <v>0</v>
      </c>
      <c r="H586" s="77">
        <f t="shared" si="146"/>
        <v>0</v>
      </c>
    </row>
    <row r="587" spans="1:8" ht="12">
      <c r="A587" s="78">
        <v>550000</v>
      </c>
      <c r="B587" s="79" t="s">
        <v>433</v>
      </c>
      <c r="C587" s="54">
        <f aca="true" t="shared" si="154" ref="C587:H587">C588+C590</f>
        <v>0</v>
      </c>
      <c r="D587" s="54">
        <f t="shared" si="154"/>
        <v>0</v>
      </c>
      <c r="E587" s="54">
        <f t="shared" si="154"/>
        <v>0</v>
      </c>
      <c r="F587" s="54">
        <f t="shared" si="154"/>
        <v>0</v>
      </c>
      <c r="G587" s="54">
        <f t="shared" si="154"/>
        <v>0</v>
      </c>
      <c r="H587" s="55">
        <f t="shared" si="154"/>
        <v>0</v>
      </c>
    </row>
    <row r="588" spans="1:8" ht="12">
      <c r="A588" s="78">
        <v>550100</v>
      </c>
      <c r="B588" s="79" t="s">
        <v>434</v>
      </c>
      <c r="C588" s="54">
        <f aca="true" t="shared" si="155" ref="C588:H588">SUM(C589)</f>
        <v>0</v>
      </c>
      <c r="D588" s="54">
        <f t="shared" si="155"/>
        <v>0</v>
      </c>
      <c r="E588" s="54">
        <f t="shared" si="155"/>
        <v>0</v>
      </c>
      <c r="F588" s="54">
        <f t="shared" si="155"/>
        <v>0</v>
      </c>
      <c r="G588" s="54">
        <f t="shared" si="155"/>
        <v>0</v>
      </c>
      <c r="H588" s="55">
        <f t="shared" si="155"/>
        <v>0</v>
      </c>
    </row>
    <row r="589" spans="1:8" ht="12">
      <c r="A589" s="78">
        <v>550106</v>
      </c>
      <c r="B589" s="80" t="s">
        <v>435</v>
      </c>
      <c r="C589" s="56">
        <v>0</v>
      </c>
      <c r="D589" s="56">
        <v>0</v>
      </c>
      <c r="E589" s="56">
        <v>0</v>
      </c>
      <c r="F589" s="27">
        <f t="shared" si="151"/>
        <v>0</v>
      </c>
      <c r="G589" s="56">
        <v>0</v>
      </c>
      <c r="H589" s="77">
        <f>+F589</f>
        <v>0</v>
      </c>
    </row>
    <row r="590" spans="1:8" ht="12">
      <c r="A590" s="78">
        <v>555000</v>
      </c>
      <c r="B590" s="79" t="s">
        <v>163</v>
      </c>
      <c r="C590" s="54">
        <f aca="true" t="shared" si="156" ref="C590:H590">SUM(C591)</f>
        <v>0</v>
      </c>
      <c r="D590" s="54">
        <f t="shared" si="156"/>
        <v>0</v>
      </c>
      <c r="E590" s="54">
        <f t="shared" si="156"/>
        <v>0</v>
      </c>
      <c r="F590" s="54">
        <f t="shared" si="156"/>
        <v>0</v>
      </c>
      <c r="G590" s="54">
        <f t="shared" si="156"/>
        <v>0</v>
      </c>
      <c r="H590" s="55">
        <f t="shared" si="156"/>
        <v>0</v>
      </c>
    </row>
    <row r="591" spans="1:8" ht="12">
      <c r="A591" s="78">
        <v>555002</v>
      </c>
      <c r="B591" s="64" t="s">
        <v>436</v>
      </c>
      <c r="C591" s="56">
        <v>0</v>
      </c>
      <c r="D591" s="52">
        <v>0</v>
      </c>
      <c r="E591" s="52">
        <v>0</v>
      </c>
      <c r="F591" s="27">
        <f t="shared" si="151"/>
        <v>0</v>
      </c>
      <c r="G591" s="52">
        <v>0</v>
      </c>
      <c r="H591" s="77">
        <f>+F591</f>
        <v>0</v>
      </c>
    </row>
    <row r="592" spans="1:8" ht="12">
      <c r="A592" s="78">
        <v>560000</v>
      </c>
      <c r="B592" s="79" t="s">
        <v>437</v>
      </c>
      <c r="C592" s="54">
        <f aca="true" t="shared" si="157" ref="C592:H592">C593+C595+C598</f>
        <v>12721209</v>
      </c>
      <c r="D592" s="54">
        <f t="shared" si="157"/>
        <v>38808211</v>
      </c>
      <c r="E592" s="54">
        <f t="shared" si="157"/>
        <v>8818409</v>
      </c>
      <c r="F592" s="54">
        <f t="shared" si="157"/>
        <v>42711011</v>
      </c>
      <c r="G592" s="54">
        <f t="shared" si="157"/>
        <v>0</v>
      </c>
      <c r="H592" s="55">
        <f t="shared" si="157"/>
        <v>42711011</v>
      </c>
    </row>
    <row r="593" spans="1:8" ht="12">
      <c r="A593" s="78">
        <v>560100</v>
      </c>
      <c r="B593" s="79" t="s">
        <v>438</v>
      </c>
      <c r="C593" s="54">
        <f aca="true" t="shared" si="158" ref="C593:H593">SUM(C594)</f>
        <v>0</v>
      </c>
      <c r="D593" s="54">
        <f t="shared" si="158"/>
        <v>0</v>
      </c>
      <c r="E593" s="54">
        <f t="shared" si="158"/>
        <v>0</v>
      </c>
      <c r="F593" s="54">
        <f t="shared" si="158"/>
        <v>0</v>
      </c>
      <c r="G593" s="54">
        <f t="shared" si="158"/>
        <v>0</v>
      </c>
      <c r="H593" s="55">
        <f t="shared" si="158"/>
        <v>0</v>
      </c>
    </row>
    <row r="594" spans="1:8" ht="12">
      <c r="A594" s="78">
        <v>560101</v>
      </c>
      <c r="B594" s="80" t="s">
        <v>439</v>
      </c>
      <c r="C594" s="56">
        <v>0</v>
      </c>
      <c r="D594" s="52">
        <v>0</v>
      </c>
      <c r="E594" s="52">
        <v>0</v>
      </c>
      <c r="F594" s="27">
        <f t="shared" si="151"/>
        <v>0</v>
      </c>
      <c r="G594" s="52">
        <v>0</v>
      </c>
      <c r="H594" s="77">
        <f>+F594</f>
        <v>0</v>
      </c>
    </row>
    <row r="595" spans="1:8" ht="12">
      <c r="A595" s="78">
        <v>560200</v>
      </c>
      <c r="B595" s="79" t="s">
        <v>440</v>
      </c>
      <c r="C595" s="54">
        <f aca="true" t="shared" si="159" ref="C595:H595">SUM(C596:C597)</f>
        <v>12636039</v>
      </c>
      <c r="D595" s="54">
        <f t="shared" si="159"/>
        <v>28662791</v>
      </c>
      <c r="E595" s="54">
        <f t="shared" si="159"/>
        <v>20037</v>
      </c>
      <c r="F595" s="54">
        <f t="shared" si="159"/>
        <v>41278793</v>
      </c>
      <c r="G595" s="54">
        <f t="shared" si="159"/>
        <v>0</v>
      </c>
      <c r="H595" s="55">
        <f t="shared" si="159"/>
        <v>41278793</v>
      </c>
    </row>
    <row r="596" spans="1:8" ht="12">
      <c r="A596" s="78">
        <v>560205</v>
      </c>
      <c r="B596" s="80" t="s">
        <v>441</v>
      </c>
      <c r="C596" s="56">
        <v>12636039</v>
      </c>
      <c r="D596" s="52">
        <v>28662791</v>
      </c>
      <c r="E596" s="52">
        <v>20037</v>
      </c>
      <c r="F596" s="27">
        <f>C596+D596-E596</f>
        <v>41278793</v>
      </c>
      <c r="G596" s="52">
        <v>0</v>
      </c>
      <c r="H596" s="77">
        <f>+F596</f>
        <v>41278793</v>
      </c>
    </row>
    <row r="597" spans="1:8" ht="12">
      <c r="A597" s="78">
        <v>560206</v>
      </c>
      <c r="B597" s="64" t="s">
        <v>435</v>
      </c>
      <c r="C597" s="56">
        <v>0</v>
      </c>
      <c r="D597" s="52">
        <v>0</v>
      </c>
      <c r="E597" s="52">
        <v>0</v>
      </c>
      <c r="F597" s="27">
        <f t="shared" si="151"/>
        <v>0</v>
      </c>
      <c r="G597" s="52">
        <v>0</v>
      </c>
      <c r="H597" s="77">
        <f>+F597</f>
        <v>0</v>
      </c>
    </row>
    <row r="598" spans="1:8" ht="12">
      <c r="A598" s="78">
        <v>560600</v>
      </c>
      <c r="B598" s="79" t="s">
        <v>442</v>
      </c>
      <c r="C598" s="54">
        <f aca="true" t="shared" si="160" ref="C598:H598">SUM(C599:C600)</f>
        <v>85170</v>
      </c>
      <c r="D598" s="54">
        <f t="shared" si="160"/>
        <v>10145420</v>
      </c>
      <c r="E598" s="54">
        <f t="shared" si="160"/>
        <v>8798372</v>
      </c>
      <c r="F598" s="54">
        <f t="shared" si="160"/>
        <v>1432218</v>
      </c>
      <c r="G598" s="54">
        <f t="shared" si="160"/>
        <v>0</v>
      </c>
      <c r="H598" s="55">
        <f t="shared" si="160"/>
        <v>1432218</v>
      </c>
    </row>
    <row r="599" spans="1:8" ht="12">
      <c r="A599" s="78">
        <v>560601</v>
      </c>
      <c r="B599" s="80" t="s">
        <v>439</v>
      </c>
      <c r="C599" s="56">
        <v>0</v>
      </c>
      <c r="D599" s="52">
        <v>2900</v>
      </c>
      <c r="E599" s="52">
        <v>0</v>
      </c>
      <c r="F599" s="27">
        <f t="shared" si="151"/>
        <v>2900</v>
      </c>
      <c r="G599" s="49">
        <v>0</v>
      </c>
      <c r="H599" s="77">
        <f>F599</f>
        <v>2900</v>
      </c>
    </row>
    <row r="600" spans="1:8" ht="12">
      <c r="A600" s="78">
        <v>560605</v>
      </c>
      <c r="B600" s="80" t="s">
        <v>441</v>
      </c>
      <c r="C600" s="56">
        <v>85170</v>
      </c>
      <c r="D600" s="52">
        <v>10142520</v>
      </c>
      <c r="E600" s="52">
        <v>8798372</v>
      </c>
      <c r="F600" s="27">
        <f t="shared" si="151"/>
        <v>1429318</v>
      </c>
      <c r="G600" s="52">
        <v>0</v>
      </c>
      <c r="H600" s="77">
        <f>F600</f>
        <v>1429318</v>
      </c>
    </row>
    <row r="601" spans="1:8" ht="13.5" customHeight="1">
      <c r="A601" s="78">
        <v>570000</v>
      </c>
      <c r="B601" s="79" t="s">
        <v>260</v>
      </c>
      <c r="C601" s="54">
        <f aca="true" t="shared" si="161" ref="C601:H601">C602+C609+C611</f>
        <v>58789</v>
      </c>
      <c r="D601" s="54">
        <f t="shared" si="161"/>
        <v>26133745</v>
      </c>
      <c r="E601" s="54">
        <f t="shared" si="161"/>
        <v>0</v>
      </c>
      <c r="F601" s="54">
        <f t="shared" si="161"/>
        <v>26192534</v>
      </c>
      <c r="G601" s="54">
        <f t="shared" si="161"/>
        <v>0</v>
      </c>
      <c r="H601" s="55">
        <f t="shared" si="161"/>
        <v>26192534</v>
      </c>
    </row>
    <row r="602" spans="1:8" ht="12">
      <c r="A602" s="78">
        <v>570500</v>
      </c>
      <c r="B602" s="79" t="s">
        <v>443</v>
      </c>
      <c r="C602" s="54">
        <f aca="true" t="shared" si="162" ref="C602:H602">SUM(C603:C608)</f>
        <v>0</v>
      </c>
      <c r="D602" s="54">
        <f t="shared" si="162"/>
        <v>0</v>
      </c>
      <c r="E602" s="54">
        <f t="shared" si="162"/>
        <v>0</v>
      </c>
      <c r="F602" s="54">
        <f t="shared" si="162"/>
        <v>0</v>
      </c>
      <c r="G602" s="54">
        <f t="shared" si="162"/>
        <v>0</v>
      </c>
      <c r="H602" s="55">
        <f t="shared" si="162"/>
        <v>0</v>
      </c>
    </row>
    <row r="603" spans="1:8" ht="12">
      <c r="A603" s="78">
        <v>570501</v>
      </c>
      <c r="B603" s="80" t="s">
        <v>444</v>
      </c>
      <c r="C603" s="56">
        <v>0</v>
      </c>
      <c r="D603" s="56">
        <v>0</v>
      </c>
      <c r="E603" s="56">
        <v>0</v>
      </c>
      <c r="F603" s="27">
        <f t="shared" si="151"/>
        <v>0</v>
      </c>
      <c r="G603" s="56">
        <v>0</v>
      </c>
      <c r="H603" s="77">
        <f aca="true" t="shared" si="163" ref="H603:H614">+F603</f>
        <v>0</v>
      </c>
    </row>
    <row r="604" spans="1:8" ht="12">
      <c r="A604" s="78">
        <v>570502</v>
      </c>
      <c r="B604" s="80" t="s">
        <v>263</v>
      </c>
      <c r="C604" s="56">
        <v>0</v>
      </c>
      <c r="D604" s="56">
        <v>0</v>
      </c>
      <c r="E604" s="56">
        <v>0</v>
      </c>
      <c r="F604" s="27">
        <f t="shared" si="151"/>
        <v>0</v>
      </c>
      <c r="G604" s="56">
        <v>0</v>
      </c>
      <c r="H604" s="77">
        <f t="shared" si="163"/>
        <v>0</v>
      </c>
    </row>
    <row r="605" spans="1:8" ht="12">
      <c r="A605" s="78">
        <v>570503</v>
      </c>
      <c r="B605" s="80" t="s">
        <v>445</v>
      </c>
      <c r="C605" s="56">
        <v>0</v>
      </c>
      <c r="D605" s="56">
        <v>0</v>
      </c>
      <c r="E605" s="56">
        <v>0</v>
      </c>
      <c r="F605" s="27">
        <f t="shared" si="151"/>
        <v>0</v>
      </c>
      <c r="G605" s="56">
        <v>0</v>
      </c>
      <c r="H605" s="77">
        <f t="shared" si="163"/>
        <v>0</v>
      </c>
    </row>
    <row r="606" spans="1:8" ht="12">
      <c r="A606" s="78">
        <v>570505</v>
      </c>
      <c r="B606" s="80" t="s">
        <v>264</v>
      </c>
      <c r="C606" s="56">
        <v>0</v>
      </c>
      <c r="D606" s="56">
        <v>0</v>
      </c>
      <c r="E606" s="56">
        <v>0</v>
      </c>
      <c r="F606" s="27">
        <f t="shared" si="151"/>
        <v>0</v>
      </c>
      <c r="G606" s="56">
        <v>0</v>
      </c>
      <c r="H606" s="77">
        <f t="shared" si="163"/>
        <v>0</v>
      </c>
    </row>
    <row r="607" spans="1:8" ht="12">
      <c r="A607" s="78">
        <v>570506</v>
      </c>
      <c r="B607" s="80" t="s">
        <v>446</v>
      </c>
      <c r="C607" s="56">
        <v>0</v>
      </c>
      <c r="D607" s="56">
        <v>0</v>
      </c>
      <c r="E607" s="56">
        <v>0</v>
      </c>
      <c r="F607" s="27">
        <f t="shared" si="151"/>
        <v>0</v>
      </c>
      <c r="G607" s="56">
        <v>0</v>
      </c>
      <c r="H607" s="77">
        <f t="shared" si="163"/>
        <v>0</v>
      </c>
    </row>
    <row r="608" spans="1:8" ht="12">
      <c r="A608" s="78">
        <v>570590</v>
      </c>
      <c r="B608" s="80" t="s">
        <v>447</v>
      </c>
      <c r="C608" s="56">
        <v>0</v>
      </c>
      <c r="D608" s="56">
        <v>0</v>
      </c>
      <c r="E608" s="56">
        <v>0</v>
      </c>
      <c r="F608" s="27">
        <f t="shared" si="151"/>
        <v>0</v>
      </c>
      <c r="G608" s="56">
        <v>0</v>
      </c>
      <c r="H608" s="77">
        <f t="shared" si="163"/>
        <v>0</v>
      </c>
    </row>
    <row r="609" spans="1:8" ht="22.5">
      <c r="A609" s="78">
        <v>572000</v>
      </c>
      <c r="B609" s="79" t="s">
        <v>448</v>
      </c>
      <c r="C609" s="54">
        <f aca="true" t="shared" si="164" ref="C609:H609">SUM(C610)</f>
        <v>58789</v>
      </c>
      <c r="D609" s="54">
        <f t="shared" si="164"/>
        <v>26133745</v>
      </c>
      <c r="E609" s="54">
        <f t="shared" si="164"/>
        <v>0</v>
      </c>
      <c r="F609" s="54">
        <f t="shared" si="164"/>
        <v>26192534</v>
      </c>
      <c r="G609" s="54">
        <f t="shared" si="164"/>
        <v>0</v>
      </c>
      <c r="H609" s="55">
        <f t="shared" si="164"/>
        <v>26192534</v>
      </c>
    </row>
    <row r="610" spans="1:8" ht="12">
      <c r="A610" s="78">
        <v>572080</v>
      </c>
      <c r="B610" s="80" t="s">
        <v>449</v>
      </c>
      <c r="C610" s="56">
        <v>58789</v>
      </c>
      <c r="D610" s="56">
        <v>26133745</v>
      </c>
      <c r="E610" s="56">
        <v>0</v>
      </c>
      <c r="F610" s="27">
        <f t="shared" si="151"/>
        <v>26192534</v>
      </c>
      <c r="G610" s="56">
        <v>0</v>
      </c>
      <c r="H610" s="77">
        <f t="shared" si="163"/>
        <v>26192534</v>
      </c>
    </row>
    <row r="611" spans="1:8" ht="12">
      <c r="A611" s="78">
        <v>572200</v>
      </c>
      <c r="B611" s="79" t="s">
        <v>450</v>
      </c>
      <c r="C611" s="54">
        <f aca="true" t="shared" si="165" ref="C611:H611">SUM(C612:C614)</f>
        <v>0</v>
      </c>
      <c r="D611" s="54">
        <f t="shared" si="165"/>
        <v>0</v>
      </c>
      <c r="E611" s="54">
        <f t="shared" si="165"/>
        <v>0</v>
      </c>
      <c r="F611" s="54">
        <f t="shared" si="165"/>
        <v>0</v>
      </c>
      <c r="G611" s="54">
        <f t="shared" si="165"/>
        <v>0</v>
      </c>
      <c r="H611" s="55">
        <f t="shared" si="165"/>
        <v>0</v>
      </c>
    </row>
    <row r="612" spans="1:8" ht="12">
      <c r="A612" s="78">
        <v>572201</v>
      </c>
      <c r="B612" s="80" t="s">
        <v>451</v>
      </c>
      <c r="C612" s="56">
        <v>0</v>
      </c>
      <c r="D612" s="56">
        <v>0</v>
      </c>
      <c r="E612" s="56">
        <v>0</v>
      </c>
      <c r="F612" s="27">
        <f t="shared" si="151"/>
        <v>0</v>
      </c>
      <c r="G612" s="56">
        <v>0</v>
      </c>
      <c r="H612" s="77">
        <f t="shared" si="163"/>
        <v>0</v>
      </c>
    </row>
    <row r="613" spans="1:8" ht="12">
      <c r="A613" s="78">
        <v>572500</v>
      </c>
      <c r="B613" s="79" t="s">
        <v>452</v>
      </c>
      <c r="C613" s="54">
        <v>0</v>
      </c>
      <c r="D613" s="54">
        <f>+D614</f>
        <v>0</v>
      </c>
      <c r="E613" s="54">
        <f>+E614</f>
        <v>0</v>
      </c>
      <c r="F613" s="27">
        <f t="shared" si="151"/>
        <v>0</v>
      </c>
      <c r="G613" s="54">
        <f>+G614</f>
        <v>0</v>
      </c>
      <c r="H613" s="55">
        <f>+H614</f>
        <v>0</v>
      </c>
    </row>
    <row r="614" spans="1:8" ht="13.5" customHeight="1">
      <c r="A614" s="78">
        <v>572501</v>
      </c>
      <c r="B614" s="80" t="s">
        <v>453</v>
      </c>
      <c r="C614" s="56">
        <v>0</v>
      </c>
      <c r="D614" s="56">
        <v>0</v>
      </c>
      <c r="E614" s="56">
        <v>0</v>
      </c>
      <c r="F614" s="27">
        <f t="shared" si="151"/>
        <v>0</v>
      </c>
      <c r="G614" s="56">
        <v>0</v>
      </c>
      <c r="H614" s="77">
        <f t="shared" si="163"/>
        <v>0</v>
      </c>
    </row>
    <row r="615" spans="1:8" ht="12">
      <c r="A615" s="78">
        <v>580000</v>
      </c>
      <c r="B615" s="79" t="s">
        <v>454</v>
      </c>
      <c r="C615" s="54">
        <f aca="true" t="shared" si="166" ref="C615:H615">C616+C619+C622+C626</f>
        <v>114830</v>
      </c>
      <c r="D615" s="54">
        <f t="shared" si="166"/>
        <v>122642278</v>
      </c>
      <c r="E615" s="54">
        <f t="shared" si="166"/>
        <v>113393</v>
      </c>
      <c r="F615" s="54">
        <f t="shared" si="166"/>
        <v>122643715</v>
      </c>
      <c r="G615" s="54">
        <f t="shared" si="166"/>
        <v>0</v>
      </c>
      <c r="H615" s="55">
        <f t="shared" si="166"/>
        <v>122643715</v>
      </c>
    </row>
    <row r="616" spans="1:8" ht="12">
      <c r="A616" s="78">
        <v>580100</v>
      </c>
      <c r="B616" s="79" t="s">
        <v>455</v>
      </c>
      <c r="C616" s="54">
        <f aca="true" t="shared" si="167" ref="C616:H616">SUM(C617:C618)</f>
        <v>0</v>
      </c>
      <c r="D616" s="54">
        <f t="shared" si="167"/>
        <v>0</v>
      </c>
      <c r="E616" s="54">
        <f t="shared" si="167"/>
        <v>0</v>
      </c>
      <c r="F616" s="54">
        <f t="shared" si="167"/>
        <v>0</v>
      </c>
      <c r="G616" s="54">
        <f t="shared" si="167"/>
        <v>0</v>
      </c>
      <c r="H616" s="55">
        <f t="shared" si="167"/>
        <v>0</v>
      </c>
    </row>
    <row r="617" spans="1:8" ht="12">
      <c r="A617" s="78">
        <v>580107</v>
      </c>
      <c r="B617" s="80" t="s">
        <v>456</v>
      </c>
      <c r="C617" s="56">
        <v>0</v>
      </c>
      <c r="D617" s="56">
        <v>0</v>
      </c>
      <c r="E617" s="56">
        <v>0</v>
      </c>
      <c r="F617" s="27">
        <f t="shared" si="151"/>
        <v>0</v>
      </c>
      <c r="G617" s="56">
        <v>0</v>
      </c>
      <c r="H617" s="77">
        <f aca="true" t="shared" si="168" ref="H617:H644">+F617</f>
        <v>0</v>
      </c>
    </row>
    <row r="618" spans="1:8" ht="12">
      <c r="A618" s="78">
        <v>580110</v>
      </c>
      <c r="B618" s="80" t="s">
        <v>457</v>
      </c>
      <c r="C618" s="56">
        <v>0</v>
      </c>
      <c r="D618" s="56">
        <f>822-822</f>
        <v>0</v>
      </c>
      <c r="E618" s="56">
        <v>0</v>
      </c>
      <c r="F618" s="27">
        <f t="shared" si="151"/>
        <v>0</v>
      </c>
      <c r="G618" s="56">
        <v>0</v>
      </c>
      <c r="H618" s="77">
        <f t="shared" si="168"/>
        <v>0</v>
      </c>
    </row>
    <row r="619" spans="1:8" ht="12">
      <c r="A619" s="78">
        <v>580500</v>
      </c>
      <c r="B619" s="79" t="s">
        <v>277</v>
      </c>
      <c r="C619" s="54">
        <f aca="true" t="shared" si="169" ref="C619:H619">SUM(C620:C621)</f>
        <v>172</v>
      </c>
      <c r="D619" s="54">
        <f t="shared" si="169"/>
        <v>0</v>
      </c>
      <c r="E619" s="54">
        <f t="shared" si="169"/>
        <v>0</v>
      </c>
      <c r="F619" s="54">
        <f t="shared" si="169"/>
        <v>172</v>
      </c>
      <c r="G619" s="54">
        <f t="shared" si="169"/>
        <v>0</v>
      </c>
      <c r="H619" s="55">
        <f t="shared" si="169"/>
        <v>172</v>
      </c>
    </row>
    <row r="620" spans="1:8" ht="12">
      <c r="A620" s="78">
        <v>580536</v>
      </c>
      <c r="B620" s="80" t="s">
        <v>458</v>
      </c>
      <c r="C620" s="56">
        <v>172</v>
      </c>
      <c r="D620" s="56">
        <f>4354-4354</f>
        <v>0</v>
      </c>
      <c r="E620" s="56">
        <v>0</v>
      </c>
      <c r="F620" s="27">
        <f t="shared" si="151"/>
        <v>172</v>
      </c>
      <c r="G620" s="56">
        <v>0</v>
      </c>
      <c r="H620" s="77">
        <f t="shared" si="168"/>
        <v>172</v>
      </c>
    </row>
    <row r="621" spans="1:8" ht="12">
      <c r="A621" s="78">
        <v>580590</v>
      </c>
      <c r="B621" s="80" t="s">
        <v>459</v>
      </c>
      <c r="C621" s="56">
        <v>0</v>
      </c>
      <c r="D621" s="56">
        <v>0</v>
      </c>
      <c r="E621" s="56">
        <v>0</v>
      </c>
      <c r="F621" s="27">
        <f t="shared" si="151"/>
        <v>0</v>
      </c>
      <c r="G621" s="56">
        <v>0</v>
      </c>
      <c r="H621" s="77">
        <f t="shared" si="168"/>
        <v>0</v>
      </c>
    </row>
    <row r="622" spans="1:8" ht="12">
      <c r="A622" s="78">
        <v>581000</v>
      </c>
      <c r="B622" s="79" t="s">
        <v>286</v>
      </c>
      <c r="C622" s="54">
        <f aca="true" t="shared" si="170" ref="C622:H622">SUM(C623:C625)</f>
        <v>0</v>
      </c>
      <c r="D622" s="54">
        <f t="shared" si="170"/>
        <v>4060</v>
      </c>
      <c r="E622" s="54">
        <f t="shared" si="170"/>
        <v>0</v>
      </c>
      <c r="F622" s="54">
        <f t="shared" si="170"/>
        <v>4060</v>
      </c>
      <c r="G622" s="54">
        <f t="shared" si="170"/>
        <v>0</v>
      </c>
      <c r="H622" s="55">
        <f t="shared" si="170"/>
        <v>4060</v>
      </c>
    </row>
    <row r="623" spans="1:8" ht="12">
      <c r="A623" s="78">
        <v>581003</v>
      </c>
      <c r="B623" s="80" t="s">
        <v>460</v>
      </c>
      <c r="C623" s="56">
        <v>0</v>
      </c>
      <c r="D623" s="56">
        <v>5</v>
      </c>
      <c r="E623" s="56">
        <v>0</v>
      </c>
      <c r="F623" s="27">
        <f t="shared" si="151"/>
        <v>5</v>
      </c>
      <c r="G623" s="56">
        <v>0</v>
      </c>
      <c r="H623" s="77">
        <f t="shared" si="168"/>
        <v>5</v>
      </c>
    </row>
    <row r="624" spans="1:8" ht="12">
      <c r="A624" s="78">
        <v>581004</v>
      </c>
      <c r="B624" s="80" t="s">
        <v>291</v>
      </c>
      <c r="C624" s="56">
        <v>0</v>
      </c>
      <c r="D624" s="56">
        <v>0</v>
      </c>
      <c r="E624" s="56">
        <v>0</v>
      </c>
      <c r="F624" s="27">
        <f t="shared" si="151"/>
        <v>0</v>
      </c>
      <c r="G624" s="56">
        <v>0</v>
      </c>
      <c r="H624" s="77">
        <f t="shared" si="168"/>
        <v>0</v>
      </c>
    </row>
    <row r="625" spans="1:8" ht="12">
      <c r="A625" s="78">
        <v>581033</v>
      </c>
      <c r="B625" s="80" t="s">
        <v>461</v>
      </c>
      <c r="C625" s="56">
        <v>0</v>
      </c>
      <c r="D625" s="56">
        <v>4055</v>
      </c>
      <c r="E625" s="56">
        <v>0</v>
      </c>
      <c r="F625" s="27">
        <f t="shared" si="151"/>
        <v>4055</v>
      </c>
      <c r="G625" s="56">
        <v>0</v>
      </c>
      <c r="H625" s="77">
        <f t="shared" si="168"/>
        <v>4055</v>
      </c>
    </row>
    <row r="626" spans="1:8" ht="12">
      <c r="A626" s="78">
        <v>581500</v>
      </c>
      <c r="B626" s="79" t="s">
        <v>295</v>
      </c>
      <c r="C626" s="54">
        <f aca="true" t="shared" si="171" ref="C626:H626">SUM(C627:C644)</f>
        <v>114658</v>
      </c>
      <c r="D626" s="54">
        <f t="shared" si="171"/>
        <v>122638218</v>
      </c>
      <c r="E626" s="54">
        <f t="shared" si="171"/>
        <v>113393</v>
      </c>
      <c r="F626" s="54">
        <f t="shared" si="171"/>
        <v>122639483</v>
      </c>
      <c r="G626" s="54">
        <f t="shared" si="171"/>
        <v>0</v>
      </c>
      <c r="H626" s="55">
        <f t="shared" si="171"/>
        <v>122639483</v>
      </c>
    </row>
    <row r="627" spans="1:8" ht="12">
      <c r="A627" s="78">
        <v>581506</v>
      </c>
      <c r="B627" s="80" t="s">
        <v>439</v>
      </c>
      <c r="C627" s="56">
        <v>5095</v>
      </c>
      <c r="D627" s="56">
        <v>0</v>
      </c>
      <c r="E627" s="56">
        <v>0</v>
      </c>
      <c r="F627" s="27">
        <f t="shared" si="151"/>
        <v>5095</v>
      </c>
      <c r="G627" s="56">
        <v>0</v>
      </c>
      <c r="H627" s="77">
        <f t="shared" si="168"/>
        <v>5095</v>
      </c>
    </row>
    <row r="628" spans="1:8" ht="12">
      <c r="A628" s="78">
        <v>581509</v>
      </c>
      <c r="B628" s="80" t="s">
        <v>462</v>
      </c>
      <c r="C628" s="56">
        <v>0</v>
      </c>
      <c r="D628" s="56">
        <v>0</v>
      </c>
      <c r="E628" s="56">
        <v>0</v>
      </c>
      <c r="F628" s="27">
        <f t="shared" si="151"/>
        <v>0</v>
      </c>
      <c r="G628" s="56">
        <v>0</v>
      </c>
      <c r="H628" s="77">
        <f t="shared" si="168"/>
        <v>0</v>
      </c>
    </row>
    <row r="629" spans="1:8" ht="12">
      <c r="A629" s="78">
        <v>581510</v>
      </c>
      <c r="B629" s="80" t="s">
        <v>263</v>
      </c>
      <c r="C629" s="56">
        <v>0</v>
      </c>
      <c r="D629" s="56">
        <v>0</v>
      </c>
      <c r="E629" s="56">
        <v>0</v>
      </c>
      <c r="F629" s="27">
        <f t="shared" si="151"/>
        <v>0</v>
      </c>
      <c r="G629" s="56">
        <v>0</v>
      </c>
      <c r="H629" s="77">
        <f t="shared" si="168"/>
        <v>0</v>
      </c>
    </row>
    <row r="630" spans="1:8" ht="12">
      <c r="A630" s="78">
        <v>581511</v>
      </c>
      <c r="B630" s="80" t="s">
        <v>463</v>
      </c>
      <c r="C630" s="56">
        <v>0</v>
      </c>
      <c r="D630" s="56">
        <v>0</v>
      </c>
      <c r="E630" s="56">
        <v>0</v>
      </c>
      <c r="F630" s="27">
        <f t="shared" si="151"/>
        <v>0</v>
      </c>
      <c r="G630" s="56">
        <v>0</v>
      </c>
      <c r="H630" s="77">
        <f t="shared" si="168"/>
        <v>0</v>
      </c>
    </row>
    <row r="631" spans="1:8" ht="12">
      <c r="A631" s="78">
        <v>581516</v>
      </c>
      <c r="B631" s="80" t="s">
        <v>464</v>
      </c>
      <c r="C631" s="56">
        <v>28</v>
      </c>
      <c r="D631" s="56">
        <f>227-227</f>
        <v>0</v>
      </c>
      <c r="E631" s="56">
        <v>0</v>
      </c>
      <c r="F631" s="27">
        <f t="shared" si="151"/>
        <v>28</v>
      </c>
      <c r="G631" s="56">
        <v>0</v>
      </c>
      <c r="H631" s="77">
        <f t="shared" si="168"/>
        <v>28</v>
      </c>
    </row>
    <row r="632" spans="1:8" ht="12">
      <c r="A632" s="78">
        <v>581517</v>
      </c>
      <c r="B632" s="80" t="s">
        <v>465</v>
      </c>
      <c r="C632" s="56">
        <v>0</v>
      </c>
      <c r="D632" s="56">
        <v>2851</v>
      </c>
      <c r="E632" s="56"/>
      <c r="F632" s="27">
        <f t="shared" si="151"/>
        <v>2851</v>
      </c>
      <c r="G632" s="56">
        <v>0</v>
      </c>
      <c r="H632" s="77">
        <f t="shared" si="168"/>
        <v>2851</v>
      </c>
    </row>
    <row r="633" spans="1:8" ht="12">
      <c r="A633" s="78">
        <v>581520</v>
      </c>
      <c r="B633" s="80" t="s">
        <v>466</v>
      </c>
      <c r="C633" s="56">
        <v>39329</v>
      </c>
      <c r="D633" s="56">
        <v>122635367</v>
      </c>
      <c r="E633" s="56">
        <v>0</v>
      </c>
      <c r="F633" s="27">
        <f t="shared" si="151"/>
        <v>122674696</v>
      </c>
      <c r="G633" s="56">
        <v>0</v>
      </c>
      <c r="H633" s="77">
        <f t="shared" si="168"/>
        <v>122674696</v>
      </c>
    </row>
    <row r="634" spans="1:8" ht="12">
      <c r="A634" s="78">
        <v>581527</v>
      </c>
      <c r="B634" s="80" t="s">
        <v>467</v>
      </c>
      <c r="C634" s="56">
        <v>0</v>
      </c>
      <c r="D634" s="56">
        <v>0</v>
      </c>
      <c r="E634" s="56">
        <v>0</v>
      </c>
      <c r="F634" s="27">
        <f t="shared" si="151"/>
        <v>0</v>
      </c>
      <c r="G634" s="56">
        <v>0</v>
      </c>
      <c r="H634" s="77">
        <f t="shared" si="168"/>
        <v>0</v>
      </c>
    </row>
    <row r="635" spans="1:8" ht="12">
      <c r="A635" s="78">
        <v>581535</v>
      </c>
      <c r="B635" s="80" t="s">
        <v>468</v>
      </c>
      <c r="C635" s="56">
        <v>0</v>
      </c>
      <c r="D635" s="56">
        <v>0</v>
      </c>
      <c r="E635" s="56">
        <v>0</v>
      </c>
      <c r="F635" s="27">
        <f t="shared" si="151"/>
        <v>0</v>
      </c>
      <c r="G635" s="56">
        <v>0</v>
      </c>
      <c r="H635" s="77">
        <f t="shared" si="168"/>
        <v>0</v>
      </c>
    </row>
    <row r="636" spans="1:8" ht="12">
      <c r="A636" s="78">
        <v>581542</v>
      </c>
      <c r="B636" s="80" t="s">
        <v>469</v>
      </c>
      <c r="C636" s="56">
        <v>0</v>
      </c>
      <c r="D636" s="56">
        <v>0</v>
      </c>
      <c r="E636" s="56">
        <v>0</v>
      </c>
      <c r="F636" s="27">
        <f t="shared" si="151"/>
        <v>0</v>
      </c>
      <c r="G636" s="56">
        <v>0</v>
      </c>
      <c r="H636" s="77">
        <f t="shared" si="168"/>
        <v>0</v>
      </c>
    </row>
    <row r="637" spans="1:8" ht="12">
      <c r="A637" s="78">
        <v>581544</v>
      </c>
      <c r="B637" s="80" t="s">
        <v>470</v>
      </c>
      <c r="C637" s="56">
        <v>0</v>
      </c>
      <c r="D637" s="56">
        <v>0</v>
      </c>
      <c r="E637" s="56">
        <v>0</v>
      </c>
      <c r="F637" s="27">
        <f aca="true" t="shared" si="172" ref="F637:F644">+C637+D637-E637</f>
        <v>0</v>
      </c>
      <c r="G637" s="56">
        <v>0</v>
      </c>
      <c r="H637" s="77">
        <f t="shared" si="168"/>
        <v>0</v>
      </c>
    </row>
    <row r="638" spans="1:8" ht="12">
      <c r="A638" s="78">
        <v>581545</v>
      </c>
      <c r="B638" s="80" t="s">
        <v>471</v>
      </c>
      <c r="C638" s="56">
        <v>0</v>
      </c>
      <c r="D638" s="56">
        <v>0</v>
      </c>
      <c r="E638" s="56">
        <v>0</v>
      </c>
      <c r="F638" s="27">
        <f t="shared" si="172"/>
        <v>0</v>
      </c>
      <c r="G638" s="56">
        <v>0</v>
      </c>
      <c r="H638" s="77">
        <f t="shared" si="168"/>
        <v>0</v>
      </c>
    </row>
    <row r="639" spans="1:8" ht="22.5">
      <c r="A639" s="78">
        <v>581546</v>
      </c>
      <c r="B639" s="80" t="s">
        <v>472</v>
      </c>
      <c r="C639" s="56">
        <v>0</v>
      </c>
      <c r="D639" s="56">
        <v>0</v>
      </c>
      <c r="E639" s="56">
        <v>0</v>
      </c>
      <c r="F639" s="27">
        <f t="shared" si="172"/>
        <v>0</v>
      </c>
      <c r="G639" s="56">
        <v>0</v>
      </c>
      <c r="H639" s="77">
        <f t="shared" si="168"/>
        <v>0</v>
      </c>
    </row>
    <row r="640" spans="1:8" ht="12">
      <c r="A640" s="78">
        <v>581557</v>
      </c>
      <c r="B640" s="80" t="s">
        <v>473</v>
      </c>
      <c r="C640" s="56">
        <v>0</v>
      </c>
      <c r="D640" s="56">
        <v>0</v>
      </c>
      <c r="E640" s="56">
        <v>0</v>
      </c>
      <c r="F640" s="27">
        <f t="shared" si="172"/>
        <v>0</v>
      </c>
      <c r="G640" s="56">
        <v>0</v>
      </c>
      <c r="H640" s="77">
        <f t="shared" si="168"/>
        <v>0</v>
      </c>
    </row>
    <row r="641" spans="1:8" ht="12">
      <c r="A641" s="78">
        <v>581558</v>
      </c>
      <c r="B641" s="80" t="s">
        <v>474</v>
      </c>
      <c r="C641" s="56">
        <v>0</v>
      </c>
      <c r="D641" s="56">
        <v>0</v>
      </c>
      <c r="E641" s="56">
        <v>0</v>
      </c>
      <c r="F641" s="27">
        <f t="shared" si="172"/>
        <v>0</v>
      </c>
      <c r="G641" s="56">
        <v>0</v>
      </c>
      <c r="H641" s="77">
        <f t="shared" si="168"/>
        <v>0</v>
      </c>
    </row>
    <row r="642" spans="1:8" ht="12">
      <c r="A642" s="78">
        <v>581559</v>
      </c>
      <c r="B642" s="80" t="s">
        <v>475</v>
      </c>
      <c r="C642" s="56">
        <v>0</v>
      </c>
      <c r="D642" s="56">
        <v>0</v>
      </c>
      <c r="E642" s="56">
        <v>29508</v>
      </c>
      <c r="F642" s="27">
        <f t="shared" si="172"/>
        <v>-29508</v>
      </c>
      <c r="G642" s="56">
        <v>0</v>
      </c>
      <c r="H642" s="77">
        <f t="shared" si="168"/>
        <v>-29508</v>
      </c>
    </row>
    <row r="643" spans="1:8" ht="22.5">
      <c r="A643" s="78">
        <v>581576</v>
      </c>
      <c r="B643" s="80" t="s">
        <v>476</v>
      </c>
      <c r="C643" s="56">
        <v>70206</v>
      </c>
      <c r="D643" s="56">
        <v>0</v>
      </c>
      <c r="E643" s="56">
        <v>0</v>
      </c>
      <c r="F643" s="27">
        <f t="shared" si="172"/>
        <v>70206</v>
      </c>
      <c r="G643" s="56">
        <v>0</v>
      </c>
      <c r="H643" s="77">
        <f t="shared" si="168"/>
        <v>70206</v>
      </c>
    </row>
    <row r="644" spans="1:8" ht="12">
      <c r="A644" s="78">
        <v>581586</v>
      </c>
      <c r="B644" s="80" t="s">
        <v>477</v>
      </c>
      <c r="C644" s="56">
        <v>0</v>
      </c>
      <c r="D644" s="56">
        <v>0</v>
      </c>
      <c r="E644" s="56">
        <v>83885</v>
      </c>
      <c r="F644" s="27">
        <f t="shared" si="172"/>
        <v>-83885</v>
      </c>
      <c r="G644" s="56">
        <v>0</v>
      </c>
      <c r="H644" s="77">
        <f t="shared" si="168"/>
        <v>-83885</v>
      </c>
    </row>
    <row r="645" spans="1:8" ht="12">
      <c r="A645" s="78">
        <v>590000</v>
      </c>
      <c r="B645" s="79" t="s">
        <v>478</v>
      </c>
      <c r="C645" s="54">
        <f aca="true" t="shared" si="173" ref="C645:H645">C646</f>
        <v>0</v>
      </c>
      <c r="D645" s="54">
        <f t="shared" si="173"/>
        <v>0</v>
      </c>
      <c r="E645" s="54">
        <f t="shared" si="173"/>
        <v>0</v>
      </c>
      <c r="F645" s="54">
        <f t="shared" si="173"/>
        <v>0</v>
      </c>
      <c r="G645" s="54">
        <f t="shared" si="173"/>
        <v>0</v>
      </c>
      <c r="H645" s="55">
        <f t="shared" si="173"/>
        <v>0</v>
      </c>
    </row>
    <row r="646" spans="1:8" ht="12">
      <c r="A646" s="78">
        <v>590500</v>
      </c>
      <c r="B646" s="79" t="s">
        <v>478</v>
      </c>
      <c r="C646" s="54">
        <f aca="true" t="shared" si="174" ref="C646:H646">SUM(C647)</f>
        <v>0</v>
      </c>
      <c r="D646" s="54">
        <f t="shared" si="174"/>
        <v>0</v>
      </c>
      <c r="E646" s="54">
        <f t="shared" si="174"/>
        <v>0</v>
      </c>
      <c r="F646" s="54">
        <f t="shared" si="174"/>
        <v>0</v>
      </c>
      <c r="G646" s="54">
        <f t="shared" si="174"/>
        <v>0</v>
      </c>
      <c r="H646" s="55">
        <f t="shared" si="174"/>
        <v>0</v>
      </c>
    </row>
    <row r="647" spans="1:8" ht="12">
      <c r="A647" s="78">
        <v>590501</v>
      </c>
      <c r="B647" s="80" t="s">
        <v>479</v>
      </c>
      <c r="C647" s="56">
        <v>0</v>
      </c>
      <c r="D647" s="56">
        <v>0</v>
      </c>
      <c r="E647" s="56">
        <v>0</v>
      </c>
      <c r="F647" s="27">
        <f>+C647+D647-E647</f>
        <v>0</v>
      </c>
      <c r="G647" s="56">
        <v>0</v>
      </c>
      <c r="H647" s="77">
        <f>+F647</f>
        <v>0</v>
      </c>
    </row>
    <row r="648" spans="1:8" ht="12">
      <c r="A648" s="78">
        <v>800000</v>
      </c>
      <c r="B648" s="79" t="s">
        <v>480</v>
      </c>
      <c r="C648" s="54">
        <f>C649-C661</f>
        <v>27142190</v>
      </c>
      <c r="D648" s="54">
        <f>D649-D661</f>
        <v>113392</v>
      </c>
      <c r="E648" s="54">
        <f>E649-E661</f>
        <v>113392</v>
      </c>
      <c r="F648" s="54">
        <f>F649-F661</f>
        <v>27142190</v>
      </c>
      <c r="G648" s="54">
        <v>0</v>
      </c>
      <c r="H648" s="55">
        <v>0</v>
      </c>
    </row>
    <row r="649" spans="1:8" ht="12">
      <c r="A649" s="78">
        <v>830000</v>
      </c>
      <c r="B649" s="79" t="s">
        <v>481</v>
      </c>
      <c r="C649" s="54">
        <f aca="true" t="shared" si="175" ref="C649:H649">C650+C655+C659</f>
        <v>13571095</v>
      </c>
      <c r="D649" s="54">
        <f t="shared" si="175"/>
        <v>113392</v>
      </c>
      <c r="E649" s="54">
        <f t="shared" si="175"/>
        <v>113392</v>
      </c>
      <c r="F649" s="54">
        <f t="shared" si="175"/>
        <v>13571095</v>
      </c>
      <c r="G649" s="54">
        <f t="shared" si="175"/>
        <v>0</v>
      </c>
      <c r="H649" s="55">
        <f t="shared" si="175"/>
        <v>13571095</v>
      </c>
    </row>
    <row r="650" spans="1:8" ht="22.5">
      <c r="A650" s="78">
        <v>831500</v>
      </c>
      <c r="B650" s="79" t="s">
        <v>482</v>
      </c>
      <c r="C650" s="54">
        <f aca="true" t="shared" si="176" ref="C650:H650">SUM(C651:C654)</f>
        <v>0</v>
      </c>
      <c r="D650" s="54">
        <f t="shared" si="176"/>
        <v>0</v>
      </c>
      <c r="E650" s="54">
        <f t="shared" si="176"/>
        <v>0</v>
      </c>
      <c r="F650" s="54">
        <f t="shared" si="176"/>
        <v>0</v>
      </c>
      <c r="G650" s="54">
        <f t="shared" si="176"/>
        <v>0</v>
      </c>
      <c r="H650" s="55">
        <f t="shared" si="176"/>
        <v>0</v>
      </c>
    </row>
    <row r="651" spans="1:8" ht="12">
      <c r="A651" s="78">
        <v>831507</v>
      </c>
      <c r="B651" s="80" t="s">
        <v>21</v>
      </c>
      <c r="C651" s="56">
        <v>0</v>
      </c>
      <c r="D651" s="56">
        <v>0</v>
      </c>
      <c r="E651" s="56">
        <v>0</v>
      </c>
      <c r="F651" s="27">
        <f>+C651+D651-E651</f>
        <v>0</v>
      </c>
      <c r="G651" s="56">
        <v>0</v>
      </c>
      <c r="H651" s="77">
        <f aca="true" t="shared" si="177" ref="H651:H660">+F651</f>
        <v>0</v>
      </c>
    </row>
    <row r="652" spans="1:8" ht="12">
      <c r="A652" s="78">
        <v>831535</v>
      </c>
      <c r="B652" s="80" t="s">
        <v>483</v>
      </c>
      <c r="C652" s="56">
        <v>0</v>
      </c>
      <c r="D652" s="56">
        <v>0</v>
      </c>
      <c r="E652" s="56">
        <v>0</v>
      </c>
      <c r="F652" s="27">
        <f>+C652+D652-E652</f>
        <v>0</v>
      </c>
      <c r="G652" s="56">
        <v>0</v>
      </c>
      <c r="H652" s="77">
        <f t="shared" si="177"/>
        <v>0</v>
      </c>
    </row>
    <row r="653" spans="1:8" ht="12">
      <c r="A653" s="78">
        <v>831600</v>
      </c>
      <c r="B653" s="79" t="s">
        <v>115</v>
      </c>
      <c r="C653" s="54">
        <v>0</v>
      </c>
      <c r="D653" s="54">
        <f>+D654</f>
        <v>0</v>
      </c>
      <c r="E653" s="54">
        <f>+E654</f>
        <v>0</v>
      </c>
      <c r="F653" s="27">
        <f>+C653+D653-E653</f>
        <v>0</v>
      </c>
      <c r="G653" s="54">
        <v>0</v>
      </c>
      <c r="H653" s="55">
        <f>+H654</f>
        <v>0</v>
      </c>
    </row>
    <row r="654" spans="1:8" ht="12">
      <c r="A654" s="78">
        <v>831690</v>
      </c>
      <c r="B654" s="80" t="s">
        <v>119</v>
      </c>
      <c r="C654" s="56">
        <v>0</v>
      </c>
      <c r="D654" s="56">
        <v>0</v>
      </c>
      <c r="E654" s="56">
        <v>0</v>
      </c>
      <c r="F654" s="27">
        <f>+C654+D654-E654</f>
        <v>0</v>
      </c>
      <c r="G654" s="56">
        <v>0</v>
      </c>
      <c r="H654" s="77">
        <f t="shared" si="177"/>
        <v>0</v>
      </c>
    </row>
    <row r="655" spans="1:8" ht="12">
      <c r="A655" s="78">
        <v>833000</v>
      </c>
      <c r="B655" s="79" t="s">
        <v>484</v>
      </c>
      <c r="C655" s="54">
        <f aca="true" t="shared" si="178" ref="C655:H655">SUM(C656:C658)</f>
        <v>13571095</v>
      </c>
      <c r="D655" s="54">
        <f t="shared" si="178"/>
        <v>0</v>
      </c>
      <c r="E655" s="54">
        <f t="shared" si="178"/>
        <v>0</v>
      </c>
      <c r="F655" s="54">
        <f t="shared" si="178"/>
        <v>13571095</v>
      </c>
      <c r="G655" s="54">
        <f t="shared" si="178"/>
        <v>0</v>
      </c>
      <c r="H655" s="55">
        <f t="shared" si="178"/>
        <v>13571095</v>
      </c>
    </row>
    <row r="656" spans="1:8" ht="12">
      <c r="A656" s="78">
        <v>833005</v>
      </c>
      <c r="B656" s="80" t="s">
        <v>123</v>
      </c>
      <c r="C656" s="56">
        <v>11690704</v>
      </c>
      <c r="D656" s="56">
        <f>25-25</f>
        <v>0</v>
      </c>
      <c r="E656" s="56">
        <v>0</v>
      </c>
      <c r="F656" s="27">
        <f>+C656+D656-E656</f>
        <v>11690704</v>
      </c>
      <c r="G656" s="56">
        <v>0</v>
      </c>
      <c r="H656" s="77">
        <f t="shared" si="177"/>
        <v>11690704</v>
      </c>
    </row>
    <row r="657" spans="1:8" ht="12">
      <c r="A657" s="78">
        <v>833008</v>
      </c>
      <c r="B657" s="80" t="s">
        <v>61</v>
      </c>
      <c r="C657" s="56">
        <v>1880391</v>
      </c>
      <c r="D657" s="56">
        <v>0</v>
      </c>
      <c r="E657" s="56">
        <v>0</v>
      </c>
      <c r="F657" s="27">
        <f>+C657+D657-E657</f>
        <v>1880391</v>
      </c>
      <c r="G657" s="56">
        <v>0</v>
      </c>
      <c r="H657" s="77">
        <f t="shared" si="177"/>
        <v>1880391</v>
      </c>
    </row>
    <row r="658" spans="1:8" ht="12">
      <c r="A658" s="78">
        <v>833013</v>
      </c>
      <c r="B658" s="80" t="s">
        <v>384</v>
      </c>
      <c r="C658" s="56">
        <v>0</v>
      </c>
      <c r="D658" s="56">
        <v>0</v>
      </c>
      <c r="E658" s="56">
        <v>0</v>
      </c>
      <c r="F658" s="27">
        <f>+C658+D658-E658</f>
        <v>0</v>
      </c>
      <c r="G658" s="56">
        <v>0</v>
      </c>
      <c r="H658" s="77">
        <f t="shared" si="177"/>
        <v>0</v>
      </c>
    </row>
    <row r="659" spans="1:8" ht="12">
      <c r="A659" s="78">
        <v>839000</v>
      </c>
      <c r="B659" s="79" t="s">
        <v>485</v>
      </c>
      <c r="C659" s="54">
        <f aca="true" t="shared" si="179" ref="C659:H659">SUM(C660)</f>
        <v>0</v>
      </c>
      <c r="D659" s="54">
        <f t="shared" si="179"/>
        <v>113392</v>
      </c>
      <c r="E659" s="54">
        <f t="shared" si="179"/>
        <v>113392</v>
      </c>
      <c r="F659" s="54">
        <f t="shared" si="179"/>
        <v>0</v>
      </c>
      <c r="G659" s="54">
        <f t="shared" si="179"/>
        <v>0</v>
      </c>
      <c r="H659" s="55">
        <f t="shared" si="179"/>
        <v>0</v>
      </c>
    </row>
    <row r="660" spans="1:8" ht="12">
      <c r="A660" s="78">
        <v>839090</v>
      </c>
      <c r="B660" s="80" t="s">
        <v>486</v>
      </c>
      <c r="C660" s="56">
        <v>0</v>
      </c>
      <c r="D660" s="56">
        <v>113392</v>
      </c>
      <c r="E660" s="56">
        <v>113392</v>
      </c>
      <c r="F660" s="27">
        <f>+C660+D660-E660</f>
        <v>0</v>
      </c>
      <c r="G660" s="56">
        <v>0</v>
      </c>
      <c r="H660" s="77">
        <f t="shared" si="177"/>
        <v>0</v>
      </c>
    </row>
    <row r="661" spans="1:8" ht="12">
      <c r="A661" s="78">
        <v>890000</v>
      </c>
      <c r="B661" s="79" t="s">
        <v>487</v>
      </c>
      <c r="C661" s="54">
        <f aca="true" t="shared" si="180" ref="C661:H661">C662</f>
        <v>-13571095</v>
      </c>
      <c r="D661" s="54">
        <f t="shared" si="180"/>
        <v>0</v>
      </c>
      <c r="E661" s="54">
        <f t="shared" si="180"/>
        <v>0</v>
      </c>
      <c r="F661" s="54">
        <f t="shared" si="180"/>
        <v>-13571095</v>
      </c>
      <c r="G661" s="54">
        <f t="shared" si="180"/>
        <v>0</v>
      </c>
      <c r="H661" s="55">
        <f t="shared" si="180"/>
        <v>-13571095</v>
      </c>
    </row>
    <row r="662" spans="1:8" ht="12">
      <c r="A662" s="78">
        <v>891500</v>
      </c>
      <c r="B662" s="79" t="s">
        <v>488</v>
      </c>
      <c r="C662" s="54">
        <f aca="true" t="shared" si="181" ref="C662:H662">SUM(C663:C666)</f>
        <v>-13571095</v>
      </c>
      <c r="D662" s="54">
        <f t="shared" si="181"/>
        <v>0</v>
      </c>
      <c r="E662" s="54">
        <f t="shared" si="181"/>
        <v>0</v>
      </c>
      <c r="F662" s="54">
        <f t="shared" si="181"/>
        <v>-13571095</v>
      </c>
      <c r="G662" s="54">
        <f t="shared" si="181"/>
        <v>0</v>
      </c>
      <c r="H662" s="55">
        <f t="shared" si="181"/>
        <v>-13571095</v>
      </c>
    </row>
    <row r="663" spans="1:8" ht="22.5">
      <c r="A663" s="78">
        <v>891506</v>
      </c>
      <c r="B663" s="80" t="s">
        <v>489</v>
      </c>
      <c r="C663" s="56">
        <v>0</v>
      </c>
      <c r="D663" s="56">
        <v>0</v>
      </c>
      <c r="E663" s="56">
        <v>0</v>
      </c>
      <c r="F663" s="27">
        <f>+C663+D663-E663</f>
        <v>0</v>
      </c>
      <c r="G663" s="56">
        <v>0</v>
      </c>
      <c r="H663" s="77">
        <f>+F663</f>
        <v>0</v>
      </c>
    </row>
    <row r="664" spans="1:8" ht="12">
      <c r="A664" s="78">
        <v>891507</v>
      </c>
      <c r="B664" s="80" t="s">
        <v>490</v>
      </c>
      <c r="C664" s="56">
        <v>0</v>
      </c>
      <c r="D664" s="56">
        <v>0</v>
      </c>
      <c r="E664" s="56">
        <v>0</v>
      </c>
      <c r="F664" s="27">
        <f>+C664+D664-E664</f>
        <v>0</v>
      </c>
      <c r="G664" s="56">
        <v>0</v>
      </c>
      <c r="H664" s="77">
        <f>+F664</f>
        <v>0</v>
      </c>
    </row>
    <row r="665" spans="1:8" ht="12">
      <c r="A665" s="78">
        <v>891511</v>
      </c>
      <c r="B665" s="80" t="s">
        <v>491</v>
      </c>
      <c r="C665" s="56">
        <v>-13571095</v>
      </c>
      <c r="D665" s="56">
        <v>0</v>
      </c>
      <c r="E665" s="56">
        <f>25-25</f>
        <v>0</v>
      </c>
      <c r="F665" s="27">
        <f>C665+D665-E665</f>
        <v>-13571095</v>
      </c>
      <c r="G665" s="56">
        <v>0</v>
      </c>
      <c r="H665" s="77">
        <f>+F665</f>
        <v>-13571095</v>
      </c>
    </row>
    <row r="666" spans="1:8" ht="12">
      <c r="A666" s="78">
        <v>891590</v>
      </c>
      <c r="B666" s="80" t="s">
        <v>492</v>
      </c>
      <c r="C666" s="56">
        <v>0</v>
      </c>
      <c r="D666" s="56">
        <v>0</v>
      </c>
      <c r="E666" s="56">
        <v>0</v>
      </c>
      <c r="F666" s="27">
        <f>+C666+D666-E666</f>
        <v>0</v>
      </c>
      <c r="G666" s="56">
        <v>0</v>
      </c>
      <c r="H666" s="77">
        <f>+F666</f>
        <v>0</v>
      </c>
    </row>
    <row r="667" spans="1:8" ht="12">
      <c r="A667" s="78">
        <v>900000</v>
      </c>
      <c r="B667" s="79" t="s">
        <v>493</v>
      </c>
      <c r="C667" s="54">
        <f aca="true" t="shared" si="182" ref="C667:H667">C668+C675+C683</f>
        <v>0</v>
      </c>
      <c r="D667" s="54">
        <f t="shared" si="182"/>
        <v>1755698938</v>
      </c>
      <c r="E667" s="54">
        <f t="shared" si="182"/>
        <v>1755698938</v>
      </c>
      <c r="F667" s="54">
        <f t="shared" si="182"/>
        <v>0</v>
      </c>
      <c r="G667" s="54">
        <f t="shared" si="182"/>
        <v>0</v>
      </c>
      <c r="H667" s="55">
        <f t="shared" si="182"/>
        <v>0</v>
      </c>
    </row>
    <row r="668" spans="1:8" ht="12">
      <c r="A668" s="78">
        <v>910000</v>
      </c>
      <c r="B668" s="79" t="s">
        <v>494</v>
      </c>
      <c r="C668" s="54">
        <f aca="true" t="shared" si="183" ref="C668:H668">C669+C671+C673</f>
        <v>322706428</v>
      </c>
      <c r="D668" s="54">
        <f t="shared" si="183"/>
        <v>1656170804</v>
      </c>
      <c r="E668" s="54">
        <f t="shared" si="183"/>
        <v>97357641</v>
      </c>
      <c r="F668" s="54">
        <f t="shared" si="183"/>
        <v>1881519591</v>
      </c>
      <c r="G668" s="54">
        <f t="shared" si="183"/>
        <v>0</v>
      </c>
      <c r="H668" s="55">
        <f t="shared" si="183"/>
        <v>1881519591</v>
      </c>
    </row>
    <row r="669" spans="1:8" ht="12">
      <c r="A669" s="78">
        <v>912000</v>
      </c>
      <c r="B669" s="79" t="s">
        <v>495</v>
      </c>
      <c r="C669" s="54">
        <f aca="true" t="shared" si="184" ref="C669:H669">SUM(C670)</f>
        <v>0</v>
      </c>
      <c r="D669" s="54">
        <f t="shared" si="184"/>
        <v>1656170804</v>
      </c>
      <c r="E669" s="54">
        <f t="shared" si="184"/>
        <v>0</v>
      </c>
      <c r="F669" s="54">
        <f t="shared" si="184"/>
        <v>1656170804</v>
      </c>
      <c r="G669" s="54">
        <f t="shared" si="184"/>
        <v>0</v>
      </c>
      <c r="H669" s="55">
        <f t="shared" si="184"/>
        <v>1656170804</v>
      </c>
    </row>
    <row r="670" spans="1:8" ht="12">
      <c r="A670" s="78">
        <v>912002</v>
      </c>
      <c r="B670" s="80" t="s">
        <v>496</v>
      </c>
      <c r="C670" s="56">
        <v>0</v>
      </c>
      <c r="D670" s="56">
        <v>1656170804</v>
      </c>
      <c r="E670" s="56">
        <v>0</v>
      </c>
      <c r="F670" s="27">
        <f>C670+D670-E670</f>
        <v>1656170804</v>
      </c>
      <c r="G670" s="56">
        <v>0</v>
      </c>
      <c r="H670" s="77">
        <f>+F670</f>
        <v>1656170804</v>
      </c>
    </row>
    <row r="671" spans="1:8" ht="12">
      <c r="A671" s="78">
        <v>913500</v>
      </c>
      <c r="B671" s="79" t="s">
        <v>497</v>
      </c>
      <c r="C671" s="54">
        <f aca="true" t="shared" si="185" ref="C671:H671">SUM(C672)</f>
        <v>322706428</v>
      </c>
      <c r="D671" s="54">
        <f t="shared" si="185"/>
        <v>0</v>
      </c>
      <c r="E671" s="54">
        <f t="shared" si="185"/>
        <v>97357641</v>
      </c>
      <c r="F671" s="54">
        <f t="shared" si="185"/>
        <v>225348787</v>
      </c>
      <c r="G671" s="54">
        <f t="shared" si="185"/>
        <v>0</v>
      </c>
      <c r="H671" s="55">
        <f t="shared" si="185"/>
        <v>225348787</v>
      </c>
    </row>
    <row r="672" spans="1:8" ht="12">
      <c r="A672" s="78">
        <v>913503</v>
      </c>
      <c r="B672" s="80" t="s">
        <v>498</v>
      </c>
      <c r="C672" s="56">
        <v>322706428</v>
      </c>
      <c r="D672" s="56"/>
      <c r="E672" s="56">
        <v>97357641</v>
      </c>
      <c r="F672" s="27">
        <f>C672+D672-E672</f>
        <v>225348787</v>
      </c>
      <c r="G672" s="56">
        <v>0</v>
      </c>
      <c r="H672" s="77">
        <f>+F672</f>
        <v>225348787</v>
      </c>
    </row>
    <row r="673" spans="1:8" ht="12">
      <c r="A673" s="78">
        <v>919000</v>
      </c>
      <c r="B673" s="79" t="s">
        <v>499</v>
      </c>
      <c r="C673" s="54">
        <f aca="true" t="shared" si="186" ref="C673:H673">SUM(C674)</f>
        <v>0</v>
      </c>
      <c r="D673" s="54">
        <f t="shared" si="186"/>
        <v>0</v>
      </c>
      <c r="E673" s="54">
        <f t="shared" si="186"/>
        <v>0</v>
      </c>
      <c r="F673" s="54">
        <f t="shared" si="186"/>
        <v>0</v>
      </c>
      <c r="G673" s="54">
        <f t="shared" si="186"/>
        <v>0</v>
      </c>
      <c r="H673" s="55">
        <f t="shared" si="186"/>
        <v>0</v>
      </c>
    </row>
    <row r="674" spans="1:8" ht="12">
      <c r="A674" s="78">
        <v>919090</v>
      </c>
      <c r="B674" s="80" t="s">
        <v>500</v>
      </c>
      <c r="C674" s="56">
        <v>0</v>
      </c>
      <c r="D674" s="56">
        <v>0</v>
      </c>
      <c r="E674" s="56">
        <v>0</v>
      </c>
      <c r="F674" s="27">
        <f>+C674+D674-E674</f>
        <v>0</v>
      </c>
      <c r="G674" s="56">
        <v>0</v>
      </c>
      <c r="H674" s="77">
        <f>+F674</f>
        <v>0</v>
      </c>
    </row>
    <row r="675" spans="1:8" ht="12">
      <c r="A675" s="78">
        <v>930000</v>
      </c>
      <c r="B675" s="79" t="s">
        <v>501</v>
      </c>
      <c r="C675" s="54">
        <f aca="true" t="shared" si="187" ref="C675:H675">C676+C680</f>
        <v>889755</v>
      </c>
      <c r="D675" s="54">
        <f t="shared" si="187"/>
        <v>2170493</v>
      </c>
      <c r="E675" s="54">
        <f t="shared" si="187"/>
        <v>2169493</v>
      </c>
      <c r="F675" s="54">
        <f t="shared" si="187"/>
        <v>890755</v>
      </c>
      <c r="G675" s="54">
        <f t="shared" si="187"/>
        <v>0</v>
      </c>
      <c r="H675" s="55">
        <f t="shared" si="187"/>
        <v>890755</v>
      </c>
    </row>
    <row r="676" spans="1:8" ht="12">
      <c r="A676" s="78">
        <v>934600</v>
      </c>
      <c r="B676" s="79" t="s">
        <v>502</v>
      </c>
      <c r="C676" s="54">
        <f aca="true" t="shared" si="188" ref="C676:H676">SUM(C677:C679)</f>
        <v>889755</v>
      </c>
      <c r="D676" s="54">
        <f t="shared" si="188"/>
        <v>1000</v>
      </c>
      <c r="E676" s="54">
        <f t="shared" si="188"/>
        <v>0</v>
      </c>
      <c r="F676" s="54">
        <f t="shared" si="188"/>
        <v>890755</v>
      </c>
      <c r="G676" s="54">
        <f t="shared" si="188"/>
        <v>0</v>
      </c>
      <c r="H676" s="55">
        <f t="shared" si="188"/>
        <v>890755</v>
      </c>
    </row>
    <row r="677" spans="1:8" ht="12">
      <c r="A677" s="78">
        <v>934606</v>
      </c>
      <c r="B677" s="80" t="s">
        <v>61</v>
      </c>
      <c r="C677" s="56">
        <v>822218</v>
      </c>
      <c r="D677" s="56">
        <v>1000</v>
      </c>
      <c r="E677" s="56"/>
      <c r="F677" s="27">
        <f>C677+D677-E677</f>
        <v>823218</v>
      </c>
      <c r="G677" s="56">
        <v>0</v>
      </c>
      <c r="H677" s="77">
        <f aca="true" t="shared" si="189" ref="H677:H682">+F677</f>
        <v>823218</v>
      </c>
    </row>
    <row r="678" spans="1:8" ht="12">
      <c r="A678" s="78">
        <v>934612</v>
      </c>
      <c r="B678" s="80" t="s">
        <v>21</v>
      </c>
      <c r="C678" s="56">
        <v>67537</v>
      </c>
      <c r="D678" s="56">
        <v>0</v>
      </c>
      <c r="E678" s="56">
        <v>0</v>
      </c>
      <c r="F678" s="27">
        <f>C678-D678+E678</f>
        <v>67537</v>
      </c>
      <c r="G678" s="56">
        <v>0</v>
      </c>
      <c r="H678" s="77">
        <f t="shared" si="189"/>
        <v>67537</v>
      </c>
    </row>
    <row r="679" spans="1:8" ht="12">
      <c r="A679" s="78">
        <v>934613</v>
      </c>
      <c r="B679" s="80" t="s">
        <v>127</v>
      </c>
      <c r="C679" s="56">
        <v>0</v>
      </c>
      <c r="D679" s="56">
        <v>0</v>
      </c>
      <c r="E679" s="56">
        <v>0</v>
      </c>
      <c r="F679" s="27">
        <f>+C679+D679-E679</f>
        <v>0</v>
      </c>
      <c r="G679" s="56">
        <v>0</v>
      </c>
      <c r="H679" s="77">
        <f t="shared" si="189"/>
        <v>0</v>
      </c>
    </row>
    <row r="680" spans="1:8" ht="12">
      <c r="A680" s="78">
        <v>939000</v>
      </c>
      <c r="B680" s="79" t="s">
        <v>503</v>
      </c>
      <c r="C680" s="54">
        <f aca="true" t="shared" si="190" ref="C680:H680">SUM(C681:C682)</f>
        <v>0</v>
      </c>
      <c r="D680" s="54">
        <f t="shared" si="190"/>
        <v>2169493</v>
      </c>
      <c r="E680" s="54">
        <f t="shared" si="190"/>
        <v>2169493</v>
      </c>
      <c r="F680" s="54">
        <f t="shared" si="190"/>
        <v>0</v>
      </c>
      <c r="G680" s="54">
        <f t="shared" si="190"/>
        <v>0</v>
      </c>
      <c r="H680" s="55">
        <f t="shared" si="190"/>
        <v>0</v>
      </c>
    </row>
    <row r="681" spans="1:8" ht="12">
      <c r="A681" s="78">
        <v>939002</v>
      </c>
      <c r="B681" s="80" t="s">
        <v>504</v>
      </c>
      <c r="C681" s="56">
        <v>0</v>
      </c>
      <c r="D681" s="56">
        <v>1990733</v>
      </c>
      <c r="E681" s="56">
        <v>1990733</v>
      </c>
      <c r="F681" s="27">
        <f>+C681+D681-E681</f>
        <v>0</v>
      </c>
      <c r="G681" s="56">
        <v>0</v>
      </c>
      <c r="H681" s="77">
        <f t="shared" si="189"/>
        <v>0</v>
      </c>
    </row>
    <row r="682" spans="1:8" ht="12">
      <c r="A682" s="78">
        <v>939090</v>
      </c>
      <c r="B682" s="80" t="s">
        <v>505</v>
      </c>
      <c r="C682" s="56">
        <v>0</v>
      </c>
      <c r="D682" s="56">
        <v>178760</v>
      </c>
      <c r="E682" s="56">
        <v>178760</v>
      </c>
      <c r="F682" s="27">
        <f>+C682+D682-E682</f>
        <v>0</v>
      </c>
      <c r="G682" s="56">
        <v>0</v>
      </c>
      <c r="H682" s="77">
        <f t="shared" si="189"/>
        <v>0</v>
      </c>
    </row>
    <row r="683" spans="1:8" ht="12">
      <c r="A683" s="78">
        <v>990000</v>
      </c>
      <c r="B683" s="79" t="s">
        <v>506</v>
      </c>
      <c r="C683" s="54">
        <f aca="true" t="shared" si="191" ref="C683:H683">C684+C688</f>
        <v>-323596183</v>
      </c>
      <c r="D683" s="54">
        <f t="shared" si="191"/>
        <v>97357641</v>
      </c>
      <c r="E683" s="54">
        <f t="shared" si="191"/>
        <v>1656171804</v>
      </c>
      <c r="F683" s="54">
        <f t="shared" si="191"/>
        <v>-1882410346</v>
      </c>
      <c r="G683" s="54">
        <f t="shared" si="191"/>
        <v>0</v>
      </c>
      <c r="H683" s="55">
        <f t="shared" si="191"/>
        <v>-1882410346</v>
      </c>
    </row>
    <row r="684" spans="1:8" ht="12">
      <c r="A684" s="78">
        <v>990500</v>
      </c>
      <c r="B684" s="79" t="s">
        <v>507</v>
      </c>
      <c r="C684" s="54">
        <f aca="true" t="shared" si="192" ref="C684:H684">SUM(C685:C687)</f>
        <v>-322706428</v>
      </c>
      <c r="D684" s="54">
        <f t="shared" si="192"/>
        <v>97357641</v>
      </c>
      <c r="E684" s="54">
        <f t="shared" si="192"/>
        <v>1656170804</v>
      </c>
      <c r="F684" s="54">
        <f t="shared" si="192"/>
        <v>-1881519591</v>
      </c>
      <c r="G684" s="54">
        <f t="shared" si="192"/>
        <v>0</v>
      </c>
      <c r="H684" s="55">
        <f t="shared" si="192"/>
        <v>-1881519591</v>
      </c>
    </row>
    <row r="685" spans="1:8" ht="12">
      <c r="A685" s="78">
        <v>990505</v>
      </c>
      <c r="B685" s="80" t="s">
        <v>508</v>
      </c>
      <c r="C685" s="56">
        <v>0</v>
      </c>
      <c r="D685" s="56">
        <v>0</v>
      </c>
      <c r="E685" s="56">
        <v>1656170804</v>
      </c>
      <c r="F685" s="27">
        <f>C685+D685-E685</f>
        <v>-1656170804</v>
      </c>
      <c r="G685" s="56">
        <v>0</v>
      </c>
      <c r="H685" s="77">
        <f aca="true" t="shared" si="193" ref="H685:H690">+F685</f>
        <v>-1656170804</v>
      </c>
    </row>
    <row r="686" spans="1:8" ht="12">
      <c r="A686" s="78">
        <v>990508</v>
      </c>
      <c r="B686" s="80" t="s">
        <v>509</v>
      </c>
      <c r="C686" s="56">
        <v>-322706428</v>
      </c>
      <c r="D686" s="56">
        <v>97357641</v>
      </c>
      <c r="E686" s="56"/>
      <c r="F686" s="27">
        <f>C686+D686-E686</f>
        <v>-225348787</v>
      </c>
      <c r="G686" s="56">
        <f>-G671</f>
        <v>0</v>
      </c>
      <c r="H686" s="77">
        <f t="shared" si="193"/>
        <v>-225348787</v>
      </c>
    </row>
    <row r="687" spans="1:8" ht="12">
      <c r="A687" s="78">
        <v>990590</v>
      </c>
      <c r="B687" s="80" t="s">
        <v>505</v>
      </c>
      <c r="C687" s="56">
        <v>0</v>
      </c>
      <c r="D687" s="56">
        <v>0</v>
      </c>
      <c r="E687" s="56">
        <v>0</v>
      </c>
      <c r="F687" s="27">
        <f>+C687+D687-E687</f>
        <v>0</v>
      </c>
      <c r="G687" s="56">
        <v>0</v>
      </c>
      <c r="H687" s="77">
        <f t="shared" si="193"/>
        <v>0</v>
      </c>
    </row>
    <row r="688" spans="1:8" ht="12">
      <c r="A688" s="78">
        <v>991500</v>
      </c>
      <c r="B688" s="79" t="s">
        <v>507</v>
      </c>
      <c r="C688" s="54">
        <f aca="true" t="shared" si="194" ref="C688:H688">SUM(C689:C690)</f>
        <v>-889755</v>
      </c>
      <c r="D688" s="54">
        <f t="shared" si="194"/>
        <v>0</v>
      </c>
      <c r="E688" s="54">
        <f t="shared" si="194"/>
        <v>1000</v>
      </c>
      <c r="F688" s="54">
        <f t="shared" si="194"/>
        <v>-890755</v>
      </c>
      <c r="G688" s="54">
        <f t="shared" si="194"/>
        <v>0</v>
      </c>
      <c r="H688" s="55">
        <f t="shared" si="194"/>
        <v>-890755</v>
      </c>
    </row>
    <row r="689" spans="1:8" ht="12">
      <c r="A689" s="78">
        <v>991506</v>
      </c>
      <c r="B689" s="80" t="s">
        <v>510</v>
      </c>
      <c r="C689" s="56">
        <v>-889755</v>
      </c>
      <c r="D689" s="56"/>
      <c r="E689" s="56">
        <v>1000</v>
      </c>
      <c r="F689" s="27">
        <f>C689+D689-E689</f>
        <v>-890755</v>
      </c>
      <c r="G689" s="56">
        <v>0</v>
      </c>
      <c r="H689" s="77">
        <f t="shared" si="193"/>
        <v>-890755</v>
      </c>
    </row>
    <row r="690" spans="1:8" ht="12">
      <c r="A690" s="78">
        <v>991590</v>
      </c>
      <c r="B690" s="80" t="s">
        <v>505</v>
      </c>
      <c r="C690" s="56">
        <v>0</v>
      </c>
      <c r="D690" s="56"/>
      <c r="E690" s="56"/>
      <c r="F690" s="27">
        <f>+C690+D690-E690</f>
        <v>0</v>
      </c>
      <c r="G690" s="56">
        <f>-G682-G681</f>
        <v>0</v>
      </c>
      <c r="H690" s="77">
        <f t="shared" si="193"/>
        <v>0</v>
      </c>
    </row>
    <row r="691" spans="1:8" ht="12">
      <c r="A691" s="82">
        <v>0</v>
      </c>
      <c r="B691" s="83" t="s">
        <v>511</v>
      </c>
      <c r="C691" s="54">
        <f aca="true" t="shared" si="195" ref="C691:H691">C692+C713+C827+C850+C866+C869+C872</f>
        <v>0</v>
      </c>
      <c r="D691" s="54">
        <f t="shared" si="195"/>
        <v>3275842475</v>
      </c>
      <c r="E691" s="54">
        <f t="shared" si="195"/>
        <v>3275842475</v>
      </c>
      <c r="F691" s="54">
        <f t="shared" si="195"/>
        <v>0</v>
      </c>
      <c r="G691" s="54">
        <f t="shared" si="195"/>
        <v>0</v>
      </c>
      <c r="H691" s="55">
        <f t="shared" si="195"/>
        <v>0</v>
      </c>
    </row>
    <row r="692" spans="1:8" ht="12">
      <c r="A692" s="82">
        <v>20000</v>
      </c>
      <c r="B692" s="83" t="s">
        <v>512</v>
      </c>
      <c r="C692" s="54">
        <f>C693+C696+C699+C702+C705+C707-C709-C711</f>
        <v>0</v>
      </c>
      <c r="D692" s="54">
        <f>D693-D696-D699-D702+D705+D707-D709-D711</f>
        <v>0</v>
      </c>
      <c r="E692" s="54">
        <f>E693-E696-E699-E702+E705+E707-E709-E711</f>
        <v>0</v>
      </c>
      <c r="F692" s="54">
        <f>F693-F696-F699-F702+F705+F707-F709-F711</f>
        <v>0</v>
      </c>
      <c r="G692" s="54">
        <f>G693-G696-G699-G702+G705+G707-G709-G711</f>
        <v>0</v>
      </c>
      <c r="H692" s="55">
        <f>H693-H696-H699-H702+H705+H707-H709-H711</f>
        <v>0</v>
      </c>
    </row>
    <row r="693" spans="1:8" ht="12">
      <c r="A693" s="82">
        <v>20100</v>
      </c>
      <c r="B693" s="83" t="s">
        <v>513</v>
      </c>
      <c r="C693" s="54">
        <f aca="true" t="shared" si="196" ref="C693:H693">SUM(C694:C695)</f>
        <v>0</v>
      </c>
      <c r="D693" s="54">
        <f t="shared" si="196"/>
        <v>0</v>
      </c>
      <c r="E693" s="54">
        <f t="shared" si="196"/>
        <v>0</v>
      </c>
      <c r="F693" s="54">
        <f t="shared" si="196"/>
        <v>0</v>
      </c>
      <c r="G693" s="54">
        <f t="shared" si="196"/>
        <v>0</v>
      </c>
      <c r="H693" s="55">
        <f t="shared" si="196"/>
        <v>0</v>
      </c>
    </row>
    <row r="694" spans="1:8" ht="12">
      <c r="A694" s="82">
        <v>20147</v>
      </c>
      <c r="B694" s="84" t="s">
        <v>514</v>
      </c>
      <c r="C694" s="56">
        <v>0</v>
      </c>
      <c r="D694" s="81">
        <f>3461635-3461635</f>
        <v>0</v>
      </c>
      <c r="E694" s="56"/>
      <c r="F694" s="27">
        <f>D694-E694</f>
        <v>0</v>
      </c>
      <c r="G694" s="54"/>
      <c r="H694" s="57"/>
    </row>
    <row r="695" spans="1:8" ht="12">
      <c r="A695" s="82">
        <v>20160</v>
      </c>
      <c r="B695" s="84" t="s">
        <v>515</v>
      </c>
      <c r="C695" s="56">
        <v>0</v>
      </c>
      <c r="D695" s="56">
        <f>1550000-1550000</f>
        <v>0</v>
      </c>
      <c r="E695" s="56"/>
      <c r="F695" s="27">
        <f>D695-E695</f>
        <v>0</v>
      </c>
      <c r="G695" s="56">
        <v>0</v>
      </c>
      <c r="H695" s="57"/>
    </row>
    <row r="696" spans="1:8" ht="12">
      <c r="A696" s="82">
        <v>20600</v>
      </c>
      <c r="B696" s="83" t="s">
        <v>516</v>
      </c>
      <c r="C696" s="56">
        <f aca="true" t="shared" si="197" ref="C696:H696">SUM(C697:C698)</f>
        <v>0</v>
      </c>
      <c r="D696" s="56">
        <f t="shared" si="197"/>
        <v>0</v>
      </c>
      <c r="E696" s="56">
        <f t="shared" si="197"/>
        <v>0</v>
      </c>
      <c r="F696" s="56">
        <f t="shared" si="197"/>
        <v>0</v>
      </c>
      <c r="G696" s="56">
        <f t="shared" si="197"/>
        <v>0</v>
      </c>
      <c r="H696" s="57">
        <f t="shared" si="197"/>
        <v>0</v>
      </c>
    </row>
    <row r="697" spans="1:8" ht="12">
      <c r="A697" s="82">
        <v>20647</v>
      </c>
      <c r="B697" s="84" t="s">
        <v>514</v>
      </c>
      <c r="C697" s="56">
        <v>0</v>
      </c>
      <c r="D697" s="56">
        <v>0</v>
      </c>
      <c r="E697" s="56">
        <f>834609-834609</f>
        <v>0</v>
      </c>
      <c r="F697" s="27">
        <f>C697-D697+E697</f>
        <v>0</v>
      </c>
      <c r="G697" s="56"/>
      <c r="H697" s="57"/>
    </row>
    <row r="698" spans="1:8" ht="12">
      <c r="A698" s="82">
        <v>20660</v>
      </c>
      <c r="B698" s="84" t="s">
        <v>515</v>
      </c>
      <c r="C698" s="56">
        <v>0</v>
      </c>
      <c r="D698" s="56">
        <v>0</v>
      </c>
      <c r="E698" s="56">
        <f>618740-618740</f>
        <v>0</v>
      </c>
      <c r="F698" s="27">
        <f>C698-D698+E698</f>
        <v>0</v>
      </c>
      <c r="G698" s="56"/>
      <c r="H698" s="57"/>
    </row>
    <row r="699" spans="1:8" ht="12">
      <c r="A699" s="82">
        <v>21100</v>
      </c>
      <c r="B699" s="83" t="s">
        <v>517</v>
      </c>
      <c r="C699" s="54">
        <f aca="true" t="shared" si="198" ref="C699:H699">SUM(C700:C701)</f>
        <v>0</v>
      </c>
      <c r="D699" s="54">
        <f t="shared" si="198"/>
        <v>0</v>
      </c>
      <c r="E699" s="54">
        <f t="shared" si="198"/>
        <v>0</v>
      </c>
      <c r="F699" s="54">
        <f t="shared" si="198"/>
        <v>0</v>
      </c>
      <c r="G699" s="54">
        <f t="shared" si="198"/>
        <v>0</v>
      </c>
      <c r="H699" s="55">
        <f t="shared" si="198"/>
        <v>0</v>
      </c>
    </row>
    <row r="700" spans="1:8" ht="12">
      <c r="A700" s="82">
        <v>21147</v>
      </c>
      <c r="B700" s="84" t="s">
        <v>514</v>
      </c>
      <c r="C700" s="56">
        <v>0</v>
      </c>
      <c r="D700" s="56">
        <v>0</v>
      </c>
      <c r="E700" s="56">
        <f>2627026-2627026</f>
        <v>0</v>
      </c>
      <c r="F700" s="27">
        <f>C700-D700+E700</f>
        <v>0</v>
      </c>
      <c r="G700" s="54"/>
      <c r="H700" s="57"/>
    </row>
    <row r="701" spans="1:8" ht="12">
      <c r="A701" s="82">
        <v>21160</v>
      </c>
      <c r="B701" s="84" t="s">
        <v>515</v>
      </c>
      <c r="C701" s="56">
        <v>0</v>
      </c>
      <c r="D701" s="56">
        <v>0</v>
      </c>
      <c r="E701" s="56">
        <f>931260-931260</f>
        <v>0</v>
      </c>
      <c r="F701" s="27">
        <f>C701-D701+E701</f>
        <v>0</v>
      </c>
      <c r="G701" s="54"/>
      <c r="H701" s="57"/>
    </row>
    <row r="702" spans="1:8" ht="12">
      <c r="A702" s="82">
        <v>24100</v>
      </c>
      <c r="B702" s="83" t="s">
        <v>518</v>
      </c>
      <c r="C702" s="54">
        <f aca="true" t="shared" si="199" ref="C702:H702">SUM(C703:C704)</f>
        <v>0</v>
      </c>
      <c r="D702" s="54">
        <f t="shared" si="199"/>
        <v>0</v>
      </c>
      <c r="E702" s="54">
        <f t="shared" si="199"/>
        <v>0</v>
      </c>
      <c r="F702" s="54">
        <f t="shared" si="199"/>
        <v>0</v>
      </c>
      <c r="G702" s="54">
        <f t="shared" si="199"/>
        <v>0</v>
      </c>
      <c r="H702" s="55">
        <f t="shared" si="199"/>
        <v>0</v>
      </c>
    </row>
    <row r="703" spans="1:8" ht="12">
      <c r="A703" s="82">
        <v>24102</v>
      </c>
      <c r="B703" s="84" t="s">
        <v>519</v>
      </c>
      <c r="C703" s="56">
        <v>0</v>
      </c>
      <c r="D703" s="56">
        <v>0</v>
      </c>
      <c r="E703" s="56"/>
      <c r="F703" s="27">
        <f>C703-D703+E703</f>
        <v>0</v>
      </c>
      <c r="G703" s="54"/>
      <c r="H703" s="57"/>
    </row>
    <row r="704" spans="1:8" ht="12">
      <c r="A704" s="82">
        <v>24108</v>
      </c>
      <c r="B704" s="84" t="s">
        <v>520</v>
      </c>
      <c r="C704" s="56"/>
      <c r="D704" s="56">
        <f>+D705</f>
        <v>0</v>
      </c>
      <c r="E704" s="56"/>
      <c r="F704" s="27"/>
      <c r="G704" s="54"/>
      <c r="H704" s="57"/>
    </row>
    <row r="705" spans="1:8" ht="12">
      <c r="A705" s="82">
        <v>24600</v>
      </c>
      <c r="B705" s="83" t="s">
        <v>521</v>
      </c>
      <c r="C705" s="54">
        <f aca="true" t="shared" si="200" ref="C705:H705">SUM(C706)</f>
        <v>0</v>
      </c>
      <c r="D705" s="54">
        <f t="shared" si="200"/>
        <v>0</v>
      </c>
      <c r="E705" s="54">
        <f t="shared" si="200"/>
        <v>0</v>
      </c>
      <c r="F705" s="54">
        <f t="shared" si="200"/>
        <v>0</v>
      </c>
      <c r="G705" s="54">
        <f t="shared" si="200"/>
        <v>0</v>
      </c>
      <c r="H705" s="55">
        <f t="shared" si="200"/>
        <v>0</v>
      </c>
    </row>
    <row r="706" spans="1:8" ht="12">
      <c r="A706" s="82">
        <v>24647</v>
      </c>
      <c r="B706" s="84" t="s">
        <v>514</v>
      </c>
      <c r="C706" s="56">
        <v>0</v>
      </c>
      <c r="D706" s="56">
        <f>+D707</f>
        <v>0</v>
      </c>
      <c r="E706" s="56">
        <v>0</v>
      </c>
      <c r="F706" s="27">
        <f>+C706+D706-E706</f>
        <v>0</v>
      </c>
      <c r="G706" s="54"/>
      <c r="H706" s="57"/>
    </row>
    <row r="707" spans="1:8" ht="12">
      <c r="A707" s="82">
        <v>25100</v>
      </c>
      <c r="B707" s="83" t="s">
        <v>522</v>
      </c>
      <c r="C707" s="56">
        <f aca="true" t="shared" si="201" ref="C707:H707">SUM(C708)</f>
        <v>0</v>
      </c>
      <c r="D707" s="56">
        <f t="shared" si="201"/>
        <v>0</v>
      </c>
      <c r="E707" s="56">
        <f t="shared" si="201"/>
        <v>0</v>
      </c>
      <c r="F707" s="56">
        <f t="shared" si="201"/>
        <v>0</v>
      </c>
      <c r="G707" s="56">
        <f t="shared" si="201"/>
        <v>0</v>
      </c>
      <c r="H707" s="57">
        <f t="shared" si="201"/>
        <v>0</v>
      </c>
    </row>
    <row r="708" spans="1:8" ht="12">
      <c r="A708" s="82">
        <v>25102</v>
      </c>
      <c r="B708" s="84" t="s">
        <v>519</v>
      </c>
      <c r="C708" s="56"/>
      <c r="D708" s="54"/>
      <c r="E708" s="54"/>
      <c r="F708" s="27"/>
      <c r="G708" s="54"/>
      <c r="H708" s="57"/>
    </row>
    <row r="709" spans="1:8" ht="22.5">
      <c r="A709" s="82">
        <v>25600</v>
      </c>
      <c r="B709" s="83" t="s">
        <v>523</v>
      </c>
      <c r="C709" s="56">
        <f aca="true" t="shared" si="202" ref="C709:H709">SUM(C710)</f>
        <v>0</v>
      </c>
      <c r="D709" s="56">
        <f t="shared" si="202"/>
        <v>0</v>
      </c>
      <c r="E709" s="56">
        <f t="shared" si="202"/>
        <v>0</v>
      </c>
      <c r="F709" s="56">
        <f t="shared" si="202"/>
        <v>0</v>
      </c>
      <c r="G709" s="56">
        <f t="shared" si="202"/>
        <v>0</v>
      </c>
      <c r="H709" s="57">
        <f t="shared" si="202"/>
        <v>0</v>
      </c>
    </row>
    <row r="710" spans="1:8" ht="12">
      <c r="A710" s="82">
        <v>25602</v>
      </c>
      <c r="B710" s="84" t="s">
        <v>514</v>
      </c>
      <c r="C710" s="56"/>
      <c r="D710" s="54"/>
      <c r="E710" s="54"/>
      <c r="F710" s="27"/>
      <c r="G710" s="54"/>
      <c r="H710" s="57"/>
    </row>
    <row r="711" spans="1:8" ht="12">
      <c r="A711" s="82">
        <v>26100</v>
      </c>
      <c r="B711" s="83" t="s">
        <v>521</v>
      </c>
      <c r="C711" s="54">
        <f aca="true" t="shared" si="203" ref="C711:H711">SUM(C712)</f>
        <v>0</v>
      </c>
      <c r="D711" s="54">
        <f t="shared" si="203"/>
        <v>0</v>
      </c>
      <c r="E711" s="54">
        <f t="shared" si="203"/>
        <v>0</v>
      </c>
      <c r="F711" s="54">
        <f t="shared" si="203"/>
        <v>0</v>
      </c>
      <c r="G711" s="54">
        <f t="shared" si="203"/>
        <v>0</v>
      </c>
      <c r="H711" s="55">
        <f t="shared" si="203"/>
        <v>0</v>
      </c>
    </row>
    <row r="712" spans="1:8" ht="12">
      <c r="A712" s="82">
        <v>26102</v>
      </c>
      <c r="B712" s="84" t="s">
        <v>514</v>
      </c>
      <c r="C712" s="56">
        <v>0</v>
      </c>
      <c r="D712" s="56">
        <v>0</v>
      </c>
      <c r="E712" s="56">
        <v>0</v>
      </c>
      <c r="F712" s="27">
        <f>+C712+D712-E712</f>
        <v>0</v>
      </c>
      <c r="G712" s="54"/>
      <c r="H712" s="57"/>
    </row>
    <row r="713" spans="1:8" ht="12">
      <c r="A713" s="82">
        <v>30000</v>
      </c>
      <c r="B713" s="58" t="s">
        <v>524</v>
      </c>
      <c r="C713" s="54">
        <f aca="true" t="shared" si="204" ref="C713:H713">C714+C732+C751+C770+C789+C808</f>
        <v>0</v>
      </c>
      <c r="D713" s="54">
        <f t="shared" si="204"/>
        <v>3207554593</v>
      </c>
      <c r="E713" s="54">
        <f t="shared" si="204"/>
        <v>3207554593</v>
      </c>
      <c r="F713" s="54">
        <f t="shared" si="204"/>
        <v>0</v>
      </c>
      <c r="G713" s="54">
        <f t="shared" si="204"/>
        <v>0</v>
      </c>
      <c r="H713" s="55">
        <f t="shared" si="204"/>
        <v>0</v>
      </c>
    </row>
    <row r="714" spans="1:8" ht="12">
      <c r="A714" s="82">
        <v>30500</v>
      </c>
      <c r="B714" s="79" t="s">
        <v>525</v>
      </c>
      <c r="C714" s="54">
        <f aca="true" t="shared" si="205" ref="C714:H714">SUM(C715:C731)</f>
        <v>-13120463424</v>
      </c>
      <c r="D714" s="54">
        <f t="shared" si="205"/>
        <v>1138349</v>
      </c>
      <c r="E714" s="54">
        <f t="shared" si="205"/>
        <v>9623349</v>
      </c>
      <c r="F714" s="54">
        <f t="shared" si="205"/>
        <v>-13128948424</v>
      </c>
      <c r="G714" s="54">
        <f t="shared" si="205"/>
        <v>0</v>
      </c>
      <c r="H714" s="55">
        <f t="shared" si="205"/>
        <v>-13128948424</v>
      </c>
    </row>
    <row r="715" spans="1:8" ht="12">
      <c r="A715" s="82">
        <v>30511</v>
      </c>
      <c r="B715" s="80" t="s">
        <v>526</v>
      </c>
      <c r="C715" s="56">
        <v>-12546366</v>
      </c>
      <c r="D715" s="56">
        <v>0</v>
      </c>
      <c r="E715" s="56">
        <f>815020-815020</f>
        <v>0</v>
      </c>
      <c r="F715" s="27">
        <f>C715+D715-E715</f>
        <v>-12546366</v>
      </c>
      <c r="G715" s="56">
        <v>0</v>
      </c>
      <c r="H715" s="57">
        <f>+F715</f>
        <v>-12546366</v>
      </c>
    </row>
    <row r="716" spans="1:8" ht="12">
      <c r="A716" s="82">
        <v>30512</v>
      </c>
      <c r="B716" s="80" t="s">
        <v>527</v>
      </c>
      <c r="C716" s="56">
        <v>-461556</v>
      </c>
      <c r="D716" s="56">
        <v>0</v>
      </c>
      <c r="E716" s="56">
        <f>1686657-1686657</f>
        <v>0</v>
      </c>
      <c r="F716" s="27">
        <f aca="true" t="shared" si="206" ref="F716:F731">C716+D716-E716</f>
        <v>-461556</v>
      </c>
      <c r="G716" s="56">
        <v>0</v>
      </c>
      <c r="H716" s="57">
        <f aca="true" t="shared" si="207" ref="H716:H779">+F716</f>
        <v>-461556</v>
      </c>
    </row>
    <row r="717" spans="1:8" ht="12">
      <c r="A717" s="82">
        <v>30513</v>
      </c>
      <c r="B717" s="80" t="s">
        <v>528</v>
      </c>
      <c r="C717" s="56">
        <v>-899598</v>
      </c>
      <c r="D717" s="56">
        <v>0</v>
      </c>
      <c r="E717" s="56">
        <f>70500-70500</f>
        <v>0</v>
      </c>
      <c r="F717" s="27">
        <f t="shared" si="206"/>
        <v>-899598</v>
      </c>
      <c r="G717" s="56">
        <v>0</v>
      </c>
      <c r="H717" s="57">
        <f t="shared" si="207"/>
        <v>-899598</v>
      </c>
    </row>
    <row r="718" spans="1:8" ht="12">
      <c r="A718" s="82">
        <v>30514</v>
      </c>
      <c r="B718" s="80" t="s">
        <v>529</v>
      </c>
      <c r="C718" s="56">
        <v>-2758417</v>
      </c>
      <c r="D718" s="56">
        <v>0</v>
      </c>
      <c r="E718" s="56">
        <f>178641-178641</f>
        <v>0</v>
      </c>
      <c r="F718" s="27">
        <f t="shared" si="206"/>
        <v>-2758417</v>
      </c>
      <c r="G718" s="56">
        <v>0</v>
      </c>
      <c r="H718" s="57">
        <f t="shared" si="207"/>
        <v>-2758417</v>
      </c>
    </row>
    <row r="719" spans="1:8" ht="12">
      <c r="A719" s="82">
        <v>30515</v>
      </c>
      <c r="B719" s="80" t="s">
        <v>530</v>
      </c>
      <c r="C719" s="56">
        <v>-365721</v>
      </c>
      <c r="D719" s="56">
        <v>0</v>
      </c>
      <c r="E719" s="56">
        <f>1479955-1429955</f>
        <v>50000</v>
      </c>
      <c r="F719" s="27">
        <f t="shared" si="206"/>
        <v>-415721</v>
      </c>
      <c r="G719" s="56">
        <v>0</v>
      </c>
      <c r="H719" s="57">
        <f t="shared" si="207"/>
        <v>-415721</v>
      </c>
    </row>
    <row r="720" spans="1:8" ht="12">
      <c r="A720" s="82">
        <v>30516</v>
      </c>
      <c r="B720" s="80" t="s">
        <v>531</v>
      </c>
      <c r="C720" s="56">
        <v>-2138200</v>
      </c>
      <c r="D720" s="56">
        <v>0</v>
      </c>
      <c r="E720" s="56">
        <f>776000-776000</f>
        <v>0</v>
      </c>
      <c r="F720" s="27">
        <f t="shared" si="206"/>
        <v>-2138200</v>
      </c>
      <c r="G720" s="56">
        <v>0</v>
      </c>
      <c r="H720" s="57">
        <f t="shared" si="207"/>
        <v>-2138200</v>
      </c>
    </row>
    <row r="721" spans="1:8" ht="12">
      <c r="A721" s="82">
        <v>30517</v>
      </c>
      <c r="B721" s="80" t="s">
        <v>532</v>
      </c>
      <c r="C721" s="56">
        <v>-35726</v>
      </c>
      <c r="D721" s="56">
        <v>0</v>
      </c>
      <c r="E721" s="56">
        <f>54862-54862</f>
        <v>0</v>
      </c>
      <c r="F721" s="27">
        <f t="shared" si="206"/>
        <v>-35726</v>
      </c>
      <c r="G721" s="56">
        <v>0</v>
      </c>
      <c r="H721" s="57">
        <f t="shared" si="207"/>
        <v>-35726</v>
      </c>
    </row>
    <row r="722" spans="1:8" ht="12">
      <c r="A722" s="82" t="s">
        <v>533</v>
      </c>
      <c r="B722" s="80" t="s">
        <v>515</v>
      </c>
      <c r="C722" s="56">
        <v>-34718643</v>
      </c>
      <c r="D722" s="56">
        <v>0</v>
      </c>
      <c r="E722" s="56">
        <v>0</v>
      </c>
      <c r="F722" s="27">
        <f t="shared" si="206"/>
        <v>-34718643</v>
      </c>
      <c r="G722" s="56">
        <v>0</v>
      </c>
      <c r="H722" s="57">
        <f t="shared" si="207"/>
        <v>-34718643</v>
      </c>
    </row>
    <row r="723" spans="1:8" ht="12">
      <c r="A723" s="82">
        <v>30521</v>
      </c>
      <c r="B723" s="80" t="s">
        <v>534</v>
      </c>
      <c r="C723" s="56">
        <v>-2238141</v>
      </c>
      <c r="D723" s="56">
        <v>0</v>
      </c>
      <c r="E723" s="56">
        <v>0</v>
      </c>
      <c r="F723" s="27">
        <f t="shared" si="206"/>
        <v>-2238141</v>
      </c>
      <c r="G723" s="56">
        <v>0</v>
      </c>
      <c r="H723" s="57">
        <f t="shared" si="207"/>
        <v>-2238141</v>
      </c>
    </row>
    <row r="724" spans="1:8" ht="22.5">
      <c r="A724" s="82">
        <v>30532</v>
      </c>
      <c r="B724" s="80" t="s">
        <v>535</v>
      </c>
      <c r="C724" s="56">
        <v>-3942052</v>
      </c>
      <c r="D724" s="56">
        <v>0</v>
      </c>
      <c r="E724" s="56">
        <v>0</v>
      </c>
      <c r="F724" s="27">
        <f t="shared" si="206"/>
        <v>-3942052</v>
      </c>
      <c r="G724" s="56">
        <v>0</v>
      </c>
      <c r="H724" s="57">
        <f t="shared" si="207"/>
        <v>-3942052</v>
      </c>
    </row>
    <row r="725" spans="1:8" ht="12">
      <c r="A725" s="82">
        <v>30534</v>
      </c>
      <c r="B725" s="80" t="s">
        <v>536</v>
      </c>
      <c r="C725" s="56">
        <v>-1895547</v>
      </c>
      <c r="D725" s="56">
        <v>1088349</v>
      </c>
      <c r="E725" s="56">
        <v>0</v>
      </c>
      <c r="F725" s="27">
        <f t="shared" si="206"/>
        <v>-807198</v>
      </c>
      <c r="G725" s="56">
        <v>0</v>
      </c>
      <c r="H725" s="57">
        <f t="shared" si="207"/>
        <v>-807198</v>
      </c>
    </row>
    <row r="726" spans="1:8" ht="12">
      <c r="A726" s="82">
        <v>30538</v>
      </c>
      <c r="B726" s="80" t="s">
        <v>537</v>
      </c>
      <c r="C726" s="56">
        <v>-2070498547</v>
      </c>
      <c r="D726" s="56">
        <v>0</v>
      </c>
      <c r="E726" s="56">
        <v>0</v>
      </c>
      <c r="F726" s="27">
        <f t="shared" si="206"/>
        <v>-2070498547</v>
      </c>
      <c r="G726" s="56">
        <v>0</v>
      </c>
      <c r="H726" s="57">
        <f t="shared" si="207"/>
        <v>-2070498547</v>
      </c>
    </row>
    <row r="727" spans="1:8" ht="12">
      <c r="A727" s="82">
        <v>30543</v>
      </c>
      <c r="B727" s="80" t="s">
        <v>538</v>
      </c>
      <c r="C727" s="56">
        <v>-6945579</v>
      </c>
      <c r="D727" s="56">
        <v>0</v>
      </c>
      <c r="E727" s="56">
        <v>0</v>
      </c>
      <c r="F727" s="27">
        <f t="shared" si="206"/>
        <v>-6945579</v>
      </c>
      <c r="G727" s="56">
        <v>0</v>
      </c>
      <c r="H727" s="57">
        <f t="shared" si="207"/>
        <v>-6945579</v>
      </c>
    </row>
    <row r="728" spans="1:8" ht="12">
      <c r="A728" s="82">
        <v>30544</v>
      </c>
      <c r="B728" s="80" t="s">
        <v>539</v>
      </c>
      <c r="C728" s="56">
        <v>-5250000</v>
      </c>
      <c r="D728" s="56">
        <v>50000</v>
      </c>
      <c r="E728" s="56">
        <v>0</v>
      </c>
      <c r="F728" s="27">
        <f t="shared" si="206"/>
        <v>-5200000</v>
      </c>
      <c r="G728" s="56">
        <v>0</v>
      </c>
      <c r="H728" s="57">
        <f t="shared" si="207"/>
        <v>-5200000</v>
      </c>
    </row>
    <row r="729" spans="1:8" ht="12">
      <c r="A729" s="82">
        <v>30546</v>
      </c>
      <c r="B729" s="80" t="s">
        <v>540</v>
      </c>
      <c r="C729" s="56">
        <v>-1446164477</v>
      </c>
      <c r="D729" s="56">
        <v>0</v>
      </c>
      <c r="E729" s="56">
        <v>1088349</v>
      </c>
      <c r="F729" s="27">
        <f t="shared" si="206"/>
        <v>-1447252826</v>
      </c>
      <c r="G729" s="56">
        <v>0</v>
      </c>
      <c r="H729" s="57">
        <f t="shared" si="207"/>
        <v>-1447252826</v>
      </c>
    </row>
    <row r="730" spans="1:8" ht="12">
      <c r="A730" s="82">
        <v>30558</v>
      </c>
      <c r="B730" s="80" t="s">
        <v>541</v>
      </c>
      <c r="C730" s="56">
        <v>-359242709</v>
      </c>
      <c r="D730" s="56">
        <v>0</v>
      </c>
      <c r="E730" s="56">
        <v>8485000</v>
      </c>
      <c r="F730" s="27">
        <f t="shared" si="206"/>
        <v>-367727709</v>
      </c>
      <c r="G730" s="56">
        <v>0</v>
      </c>
      <c r="H730" s="57">
        <f t="shared" si="207"/>
        <v>-367727709</v>
      </c>
    </row>
    <row r="731" spans="1:8" ht="12">
      <c r="A731" s="82">
        <v>30591</v>
      </c>
      <c r="B731" s="80" t="s">
        <v>542</v>
      </c>
      <c r="C731" s="56">
        <v>-9170362145</v>
      </c>
      <c r="D731" s="56">
        <v>0</v>
      </c>
      <c r="E731" s="56">
        <v>0</v>
      </c>
      <c r="F731" s="27">
        <f t="shared" si="206"/>
        <v>-9170362145</v>
      </c>
      <c r="G731" s="56">
        <v>0</v>
      </c>
      <c r="H731" s="57">
        <f t="shared" si="207"/>
        <v>-9170362145</v>
      </c>
    </row>
    <row r="732" spans="1:8" ht="12">
      <c r="A732" s="82">
        <v>31000</v>
      </c>
      <c r="B732" s="79" t="s">
        <v>543</v>
      </c>
      <c r="C732" s="54">
        <f aca="true" t="shared" si="208" ref="C732:H732">SUM(C733:C750)</f>
        <v>1631475060</v>
      </c>
      <c r="D732" s="54">
        <f t="shared" si="208"/>
        <v>1262329</v>
      </c>
      <c r="E732" s="54">
        <f t="shared" si="208"/>
        <v>263914748</v>
      </c>
      <c r="F732" s="54">
        <f t="shared" si="208"/>
        <v>1368822641</v>
      </c>
      <c r="G732" s="54">
        <f t="shared" si="208"/>
        <v>0</v>
      </c>
      <c r="H732" s="55">
        <f t="shared" si="208"/>
        <v>1368822641</v>
      </c>
    </row>
    <row r="733" spans="1:8" ht="12">
      <c r="A733" s="82">
        <v>31011</v>
      </c>
      <c r="B733" s="80" t="s">
        <v>526</v>
      </c>
      <c r="C733" s="56">
        <v>33017</v>
      </c>
      <c r="D733" s="56">
        <f>528766-528766</f>
        <v>0</v>
      </c>
      <c r="E733" s="56">
        <v>0</v>
      </c>
      <c r="F733" s="27">
        <f aca="true" t="shared" si="209" ref="F733:F747">+C733+D733-E733</f>
        <v>33017</v>
      </c>
      <c r="G733" s="56">
        <v>0</v>
      </c>
      <c r="H733" s="57">
        <f t="shared" si="207"/>
        <v>33017</v>
      </c>
    </row>
    <row r="734" spans="1:8" ht="12">
      <c r="A734" s="82">
        <v>31012</v>
      </c>
      <c r="B734" s="80" t="s">
        <v>527</v>
      </c>
      <c r="C734" s="56">
        <v>146621</v>
      </c>
      <c r="D734" s="56">
        <f>402432-402432</f>
        <v>0</v>
      </c>
      <c r="E734" s="56">
        <v>97402</v>
      </c>
      <c r="F734" s="27">
        <f t="shared" si="209"/>
        <v>49219</v>
      </c>
      <c r="G734" s="56">
        <v>0</v>
      </c>
      <c r="H734" s="57">
        <f t="shared" si="207"/>
        <v>49219</v>
      </c>
    </row>
    <row r="735" spans="1:8" ht="12">
      <c r="A735" s="82">
        <v>31013</v>
      </c>
      <c r="B735" s="80" t="s">
        <v>528</v>
      </c>
      <c r="C735" s="56">
        <v>0</v>
      </c>
      <c r="D735" s="56">
        <f>28155-28155</f>
        <v>0</v>
      </c>
      <c r="E735" s="56">
        <v>0</v>
      </c>
      <c r="F735" s="27">
        <f t="shared" si="209"/>
        <v>0</v>
      </c>
      <c r="G735" s="56">
        <v>0</v>
      </c>
      <c r="H735" s="57">
        <f t="shared" si="207"/>
        <v>0</v>
      </c>
    </row>
    <row r="736" spans="1:8" ht="12">
      <c r="A736" s="82">
        <v>31014</v>
      </c>
      <c r="B736" s="80" t="s">
        <v>529</v>
      </c>
      <c r="C736" s="56">
        <v>0</v>
      </c>
      <c r="D736" s="56">
        <f>133515-133515</f>
        <v>0</v>
      </c>
      <c r="E736" s="56">
        <v>0</v>
      </c>
      <c r="F736" s="27">
        <f t="shared" si="209"/>
        <v>0</v>
      </c>
      <c r="G736" s="56">
        <v>0</v>
      </c>
      <c r="H736" s="57">
        <f t="shared" si="207"/>
        <v>0</v>
      </c>
    </row>
    <row r="737" spans="1:8" ht="12">
      <c r="A737" s="82">
        <v>31015</v>
      </c>
      <c r="B737" s="80" t="s">
        <v>530</v>
      </c>
      <c r="C737" s="56">
        <v>40496</v>
      </c>
      <c r="D737" s="56">
        <f>671614-621614</f>
        <v>50000</v>
      </c>
      <c r="E737" s="56">
        <v>12500</v>
      </c>
      <c r="F737" s="27">
        <f t="shared" si="209"/>
        <v>77996</v>
      </c>
      <c r="G737" s="56">
        <v>0</v>
      </c>
      <c r="H737" s="57">
        <f t="shared" si="207"/>
        <v>77996</v>
      </c>
    </row>
    <row r="738" spans="1:8" ht="12">
      <c r="A738" s="82">
        <v>31016</v>
      </c>
      <c r="B738" s="80" t="s">
        <v>531</v>
      </c>
      <c r="C738" s="56">
        <v>910002</v>
      </c>
      <c r="D738" s="56">
        <f>358879-358879</f>
        <v>0</v>
      </c>
      <c r="E738" s="56">
        <v>179049</v>
      </c>
      <c r="F738" s="27">
        <f t="shared" si="209"/>
        <v>730953</v>
      </c>
      <c r="G738" s="56">
        <v>0</v>
      </c>
      <c r="H738" s="57">
        <f t="shared" si="207"/>
        <v>730953</v>
      </c>
    </row>
    <row r="739" spans="1:8" ht="12">
      <c r="A739" s="82">
        <v>31017</v>
      </c>
      <c r="B739" s="80" t="s">
        <v>532</v>
      </c>
      <c r="C739" s="56">
        <v>12416</v>
      </c>
      <c r="D739" s="56">
        <f>41479-41479</f>
        <v>0</v>
      </c>
      <c r="E739" s="56">
        <v>5072</v>
      </c>
      <c r="F739" s="27">
        <f t="shared" si="209"/>
        <v>7344</v>
      </c>
      <c r="G739" s="56">
        <v>0</v>
      </c>
      <c r="H739" s="57">
        <f t="shared" si="207"/>
        <v>7344</v>
      </c>
    </row>
    <row r="740" spans="1:8" ht="12">
      <c r="A740" s="82">
        <v>31018</v>
      </c>
      <c r="B740" s="80" t="s">
        <v>544</v>
      </c>
      <c r="C740" s="56">
        <v>0</v>
      </c>
      <c r="D740" s="56">
        <v>0</v>
      </c>
      <c r="E740" s="56">
        <v>0</v>
      </c>
      <c r="F740" s="27">
        <f t="shared" si="209"/>
        <v>0</v>
      </c>
      <c r="G740" s="56">
        <v>0</v>
      </c>
      <c r="H740" s="57">
        <f t="shared" si="207"/>
        <v>0</v>
      </c>
    </row>
    <row r="741" spans="1:8" ht="12">
      <c r="A741" s="82">
        <v>31020</v>
      </c>
      <c r="B741" s="80" t="s">
        <v>515</v>
      </c>
      <c r="C741" s="56">
        <v>24055220</v>
      </c>
      <c r="D741" s="56">
        <v>0</v>
      </c>
      <c r="E741" s="56">
        <v>1574121</v>
      </c>
      <c r="F741" s="27">
        <f t="shared" si="209"/>
        <v>22481099</v>
      </c>
      <c r="G741" s="56">
        <v>0</v>
      </c>
      <c r="H741" s="57">
        <f t="shared" si="207"/>
        <v>22481099</v>
      </c>
    </row>
    <row r="742" spans="1:8" ht="12">
      <c r="A742" s="82">
        <v>31021</v>
      </c>
      <c r="B742" s="80" t="s">
        <v>534</v>
      </c>
      <c r="C742" s="56">
        <v>656900</v>
      </c>
      <c r="D742" s="56">
        <v>20276</v>
      </c>
      <c r="E742" s="56">
        <v>516080</v>
      </c>
      <c r="F742" s="27">
        <f t="shared" si="209"/>
        <v>161096</v>
      </c>
      <c r="G742" s="56">
        <v>0</v>
      </c>
      <c r="H742" s="57">
        <f t="shared" si="207"/>
        <v>161096</v>
      </c>
    </row>
    <row r="743" spans="1:8" ht="22.5">
      <c r="A743" s="82">
        <v>31032</v>
      </c>
      <c r="B743" s="80" t="s">
        <v>535</v>
      </c>
      <c r="C743" s="56">
        <v>0</v>
      </c>
      <c r="D743" s="56">
        <v>0</v>
      </c>
      <c r="E743" s="56">
        <v>0</v>
      </c>
      <c r="F743" s="27">
        <f t="shared" si="209"/>
        <v>0</v>
      </c>
      <c r="G743" s="56">
        <v>0</v>
      </c>
      <c r="H743" s="57">
        <f t="shared" si="207"/>
        <v>0</v>
      </c>
    </row>
    <row r="744" spans="1:8" ht="12">
      <c r="A744" s="82">
        <v>31034</v>
      </c>
      <c r="B744" s="80" t="s">
        <v>536</v>
      </c>
      <c r="C744" s="56">
        <v>171488</v>
      </c>
      <c r="D744" s="56">
        <v>0</v>
      </c>
      <c r="E744" s="56">
        <v>0</v>
      </c>
      <c r="F744" s="27">
        <f t="shared" si="209"/>
        <v>171488</v>
      </c>
      <c r="G744" s="56">
        <v>0</v>
      </c>
      <c r="H744" s="57">
        <f t="shared" si="207"/>
        <v>171488</v>
      </c>
    </row>
    <row r="745" spans="1:8" ht="12">
      <c r="A745" s="82">
        <v>31038</v>
      </c>
      <c r="B745" s="80" t="s">
        <v>537</v>
      </c>
      <c r="C745" s="56">
        <v>698934331</v>
      </c>
      <c r="D745" s="56">
        <v>0</v>
      </c>
      <c r="E745" s="56">
        <v>242957213</v>
      </c>
      <c r="F745" s="27">
        <f t="shared" si="209"/>
        <v>455977118</v>
      </c>
      <c r="G745" s="56">
        <v>0</v>
      </c>
      <c r="H745" s="57">
        <f t="shared" si="207"/>
        <v>455977118</v>
      </c>
    </row>
    <row r="746" spans="1:8" ht="12">
      <c r="A746" s="82">
        <v>31043</v>
      </c>
      <c r="B746" s="80" t="s">
        <v>545</v>
      </c>
      <c r="C746" s="56">
        <v>535799</v>
      </c>
      <c r="D746" s="56"/>
      <c r="E746" s="56">
        <v>535799</v>
      </c>
      <c r="F746" s="27">
        <f t="shared" si="209"/>
        <v>0</v>
      </c>
      <c r="G746" s="56">
        <v>0</v>
      </c>
      <c r="H746" s="57">
        <f t="shared" si="207"/>
        <v>0</v>
      </c>
    </row>
    <row r="747" spans="1:8" ht="12">
      <c r="A747" s="82">
        <v>31044</v>
      </c>
      <c r="B747" s="80" t="s">
        <v>546</v>
      </c>
      <c r="C747" s="56">
        <v>0</v>
      </c>
      <c r="D747" s="56">
        <f>50000+53704</f>
        <v>103704</v>
      </c>
      <c r="E747" s="56">
        <v>0</v>
      </c>
      <c r="F747" s="27">
        <f t="shared" si="209"/>
        <v>103704</v>
      </c>
      <c r="G747" s="56">
        <v>0</v>
      </c>
      <c r="H747" s="57">
        <f t="shared" si="207"/>
        <v>103704</v>
      </c>
    </row>
    <row r="748" spans="1:8" ht="12">
      <c r="A748" s="82">
        <v>31046</v>
      </c>
      <c r="B748" s="80" t="s">
        <v>540</v>
      </c>
      <c r="C748" s="56">
        <v>20082991</v>
      </c>
      <c r="D748" s="56">
        <v>1088349</v>
      </c>
      <c r="E748" s="56">
        <v>0</v>
      </c>
      <c r="F748" s="27">
        <f>C748+D748-E748</f>
        <v>21171340</v>
      </c>
      <c r="G748" s="56">
        <v>0</v>
      </c>
      <c r="H748" s="57">
        <f t="shared" si="207"/>
        <v>21171340</v>
      </c>
    </row>
    <row r="749" spans="1:8" ht="12">
      <c r="A749" s="82">
        <v>31058</v>
      </c>
      <c r="B749" s="80" t="s">
        <v>547</v>
      </c>
      <c r="C749" s="56">
        <v>271676661</v>
      </c>
      <c r="D749" s="56">
        <v>0</v>
      </c>
      <c r="E749" s="56">
        <v>18037512</v>
      </c>
      <c r="F749" s="27">
        <f>C749+D749-E749</f>
        <v>253639149</v>
      </c>
      <c r="G749" s="56">
        <v>0</v>
      </c>
      <c r="H749" s="57">
        <f t="shared" si="207"/>
        <v>253639149</v>
      </c>
    </row>
    <row r="750" spans="1:8" ht="12">
      <c r="A750" s="82">
        <v>31091</v>
      </c>
      <c r="B750" s="80" t="s">
        <v>542</v>
      </c>
      <c r="C750" s="56">
        <v>614219118</v>
      </c>
      <c r="D750" s="56">
        <v>0</v>
      </c>
      <c r="E750" s="56"/>
      <c r="F750" s="27">
        <f>+C750+D750-E750</f>
        <v>614219118</v>
      </c>
      <c r="G750" s="56">
        <v>0</v>
      </c>
      <c r="H750" s="57">
        <f t="shared" si="207"/>
        <v>614219118</v>
      </c>
    </row>
    <row r="751" spans="1:8" ht="12">
      <c r="A751" s="82">
        <v>31200</v>
      </c>
      <c r="B751" s="79" t="s">
        <v>548</v>
      </c>
      <c r="C751" s="54">
        <f aca="true" t="shared" si="210" ref="C751:H751">SUM(C752:C769)</f>
        <v>7787805975</v>
      </c>
      <c r="D751" s="54">
        <f t="shared" si="210"/>
        <v>18104795</v>
      </c>
      <c r="E751" s="54">
        <f t="shared" si="210"/>
        <v>2895560540</v>
      </c>
      <c r="F751" s="54">
        <f t="shared" si="210"/>
        <v>4910350230</v>
      </c>
      <c r="G751" s="54">
        <f t="shared" si="210"/>
        <v>0</v>
      </c>
      <c r="H751" s="55">
        <f t="shared" si="210"/>
        <v>4910350230</v>
      </c>
    </row>
    <row r="752" spans="1:8" ht="12">
      <c r="A752" s="82">
        <v>31211</v>
      </c>
      <c r="B752" s="80" t="s">
        <v>526</v>
      </c>
      <c r="C752" s="56">
        <v>10064699</v>
      </c>
      <c r="D752" s="56">
        <v>0</v>
      </c>
      <c r="E752" s="56">
        <v>2749198</v>
      </c>
      <c r="F752" s="27">
        <f>C752+D752-E752</f>
        <v>7315501</v>
      </c>
      <c r="G752" s="56">
        <v>0</v>
      </c>
      <c r="H752" s="57">
        <f t="shared" si="207"/>
        <v>7315501</v>
      </c>
    </row>
    <row r="753" spans="1:8" ht="12">
      <c r="A753" s="82">
        <v>31212</v>
      </c>
      <c r="B753" s="80" t="s">
        <v>527</v>
      </c>
      <c r="C753" s="56">
        <v>142248</v>
      </c>
      <c r="D753" s="56">
        <v>67433</v>
      </c>
      <c r="E753" s="56">
        <v>12546</v>
      </c>
      <c r="F753" s="27">
        <f aca="true" t="shared" si="211" ref="F753:F769">C753+D753-E753</f>
        <v>197135</v>
      </c>
      <c r="G753" s="56">
        <v>0</v>
      </c>
      <c r="H753" s="57">
        <f t="shared" si="207"/>
        <v>197135</v>
      </c>
    </row>
    <row r="754" spans="1:8" ht="22.5">
      <c r="A754" s="82">
        <v>31213</v>
      </c>
      <c r="B754" s="80" t="s">
        <v>549</v>
      </c>
      <c r="C754" s="56">
        <v>544132</v>
      </c>
      <c r="D754" s="56">
        <v>0</v>
      </c>
      <c r="E754" s="56">
        <v>250632</v>
      </c>
      <c r="F754" s="27">
        <f t="shared" si="211"/>
        <v>293500</v>
      </c>
      <c r="G754" s="56">
        <v>0</v>
      </c>
      <c r="H754" s="57">
        <f t="shared" si="207"/>
        <v>293500</v>
      </c>
    </row>
    <row r="755" spans="1:8" ht="12">
      <c r="A755" s="82">
        <v>31214</v>
      </c>
      <c r="B755" s="80" t="s">
        <v>550</v>
      </c>
      <c r="C755" s="56">
        <v>2305997</v>
      </c>
      <c r="D755" s="56">
        <v>0</v>
      </c>
      <c r="E755" s="56">
        <v>392451</v>
      </c>
      <c r="F755" s="27">
        <f t="shared" si="211"/>
        <v>1913546</v>
      </c>
      <c r="G755" s="56">
        <v>0</v>
      </c>
      <c r="H755" s="57">
        <f t="shared" si="207"/>
        <v>1913546</v>
      </c>
    </row>
    <row r="756" spans="1:8" ht="12">
      <c r="A756" s="82">
        <v>31215</v>
      </c>
      <c r="B756" s="80" t="s">
        <v>530</v>
      </c>
      <c r="C756" s="56">
        <v>9367</v>
      </c>
      <c r="D756" s="56">
        <v>0</v>
      </c>
      <c r="E756" s="56">
        <v>0</v>
      </c>
      <c r="F756" s="27">
        <f t="shared" si="211"/>
        <v>9367</v>
      </c>
      <c r="G756" s="56">
        <v>0</v>
      </c>
      <c r="H756" s="57">
        <f t="shared" si="207"/>
        <v>9367</v>
      </c>
    </row>
    <row r="757" spans="1:8" ht="12">
      <c r="A757" s="82">
        <v>31216</v>
      </c>
      <c r="B757" s="80" t="s">
        <v>531</v>
      </c>
      <c r="C757" s="56">
        <v>488241</v>
      </c>
      <c r="D757" s="56">
        <v>0</v>
      </c>
      <c r="E757" s="56">
        <v>196304</v>
      </c>
      <c r="F757" s="27">
        <f t="shared" si="211"/>
        <v>291937</v>
      </c>
      <c r="G757" s="56">
        <v>0</v>
      </c>
      <c r="H757" s="57">
        <f t="shared" si="207"/>
        <v>291937</v>
      </c>
    </row>
    <row r="758" spans="1:8" ht="12">
      <c r="A758" s="82">
        <v>31217</v>
      </c>
      <c r="B758" s="80" t="s">
        <v>551</v>
      </c>
      <c r="C758" s="56">
        <v>300</v>
      </c>
      <c r="D758" s="28"/>
      <c r="E758" s="56">
        <v>0</v>
      </c>
      <c r="F758" s="27">
        <f t="shared" si="211"/>
        <v>300</v>
      </c>
      <c r="G758" s="56">
        <v>0</v>
      </c>
      <c r="H758" s="57">
        <f t="shared" si="207"/>
        <v>300</v>
      </c>
    </row>
    <row r="759" spans="1:8" ht="12">
      <c r="A759" s="82">
        <v>31218</v>
      </c>
      <c r="B759" s="80" t="s">
        <v>544</v>
      </c>
      <c r="C759" s="56">
        <v>0</v>
      </c>
      <c r="D759" s="56">
        <v>0</v>
      </c>
      <c r="E759" s="56">
        <v>0</v>
      </c>
      <c r="F759" s="27">
        <f t="shared" si="211"/>
        <v>0</v>
      </c>
      <c r="G759" s="56">
        <v>0</v>
      </c>
      <c r="H759" s="57">
        <f t="shared" si="207"/>
        <v>0</v>
      </c>
    </row>
    <row r="760" spans="1:8" ht="12">
      <c r="A760" s="82">
        <v>31220</v>
      </c>
      <c r="B760" s="80" t="s">
        <v>515</v>
      </c>
      <c r="C760" s="56">
        <v>0</v>
      </c>
      <c r="D760" s="56">
        <v>1574121</v>
      </c>
      <c r="E760" s="56">
        <v>0</v>
      </c>
      <c r="F760" s="27">
        <f t="shared" si="211"/>
        <v>1574121</v>
      </c>
      <c r="G760" s="56">
        <v>0</v>
      </c>
      <c r="H760" s="57">
        <f t="shared" si="207"/>
        <v>1574121</v>
      </c>
    </row>
    <row r="761" spans="1:8" ht="12">
      <c r="A761" s="82">
        <v>31221</v>
      </c>
      <c r="B761" s="80" t="s">
        <v>552</v>
      </c>
      <c r="C761" s="56">
        <v>1138142</v>
      </c>
      <c r="D761" s="56">
        <v>376490</v>
      </c>
      <c r="E761" s="56">
        <v>467257</v>
      </c>
      <c r="F761" s="27">
        <f t="shared" si="211"/>
        <v>1047375</v>
      </c>
      <c r="G761" s="56">
        <v>0</v>
      </c>
      <c r="H761" s="57">
        <f t="shared" si="207"/>
        <v>1047375</v>
      </c>
    </row>
    <row r="762" spans="1:8" ht="22.5">
      <c r="A762" s="82">
        <v>31232</v>
      </c>
      <c r="B762" s="80" t="s">
        <v>553</v>
      </c>
      <c r="C762" s="56">
        <v>2653668</v>
      </c>
      <c r="D762" s="56">
        <v>0</v>
      </c>
      <c r="E762" s="56">
        <v>846375</v>
      </c>
      <c r="F762" s="27">
        <f t="shared" si="211"/>
        <v>1807293</v>
      </c>
      <c r="G762" s="56">
        <v>0</v>
      </c>
      <c r="H762" s="57">
        <f t="shared" si="207"/>
        <v>1807293</v>
      </c>
    </row>
    <row r="763" spans="1:8" ht="12">
      <c r="A763" s="82">
        <v>31234</v>
      </c>
      <c r="B763" s="80" t="s">
        <v>554</v>
      </c>
      <c r="C763" s="56">
        <v>1724059</v>
      </c>
      <c r="D763" s="56">
        <v>0</v>
      </c>
      <c r="E763" s="56">
        <v>1724059</v>
      </c>
      <c r="F763" s="27">
        <f t="shared" si="211"/>
        <v>0</v>
      </c>
      <c r="G763" s="56">
        <v>0</v>
      </c>
      <c r="H763" s="57">
        <f t="shared" si="207"/>
        <v>0</v>
      </c>
    </row>
    <row r="764" spans="1:8" ht="12">
      <c r="A764" s="82">
        <v>31238</v>
      </c>
      <c r="B764" s="80" t="s">
        <v>537</v>
      </c>
      <c r="C764" s="56">
        <v>1028612897</v>
      </c>
      <c r="D764" s="56">
        <v>0</v>
      </c>
      <c r="E764" s="56">
        <v>271760294</v>
      </c>
      <c r="F764" s="27">
        <f t="shared" si="211"/>
        <v>756852603</v>
      </c>
      <c r="G764" s="56">
        <v>0</v>
      </c>
      <c r="H764" s="57">
        <f t="shared" si="207"/>
        <v>756852603</v>
      </c>
    </row>
    <row r="765" spans="1:8" ht="12">
      <c r="A765" s="82">
        <v>31243</v>
      </c>
      <c r="B765" s="80" t="s">
        <v>545</v>
      </c>
      <c r="C765" s="56">
        <v>2139406</v>
      </c>
      <c r="D765" s="56">
        <v>535799</v>
      </c>
      <c r="E765" s="56">
        <v>0</v>
      </c>
      <c r="F765" s="27">
        <f t="shared" si="211"/>
        <v>2675205</v>
      </c>
      <c r="G765" s="56">
        <v>0</v>
      </c>
      <c r="H765" s="57">
        <f t="shared" si="207"/>
        <v>2675205</v>
      </c>
    </row>
    <row r="766" spans="1:8" ht="12">
      <c r="A766" s="82">
        <v>31244</v>
      </c>
      <c r="B766" s="80" t="s">
        <v>546</v>
      </c>
      <c r="C766" s="56">
        <v>5250000</v>
      </c>
      <c r="D766" s="56">
        <v>0</v>
      </c>
      <c r="E766" s="56">
        <v>753661</v>
      </c>
      <c r="F766" s="27">
        <f t="shared" si="211"/>
        <v>4496339</v>
      </c>
      <c r="G766" s="56">
        <v>0</v>
      </c>
      <c r="H766" s="57">
        <f t="shared" si="207"/>
        <v>4496339</v>
      </c>
    </row>
    <row r="767" spans="1:8" ht="12">
      <c r="A767" s="82">
        <v>31246</v>
      </c>
      <c r="B767" s="80" t="s">
        <v>540</v>
      </c>
      <c r="C767" s="56">
        <v>1084671700</v>
      </c>
      <c r="D767" s="56">
        <v>0</v>
      </c>
      <c r="E767" s="56">
        <v>435596279</v>
      </c>
      <c r="F767" s="27">
        <f t="shared" si="211"/>
        <v>649075421</v>
      </c>
      <c r="G767" s="56">
        <v>0</v>
      </c>
      <c r="H767" s="57">
        <f t="shared" si="207"/>
        <v>649075421</v>
      </c>
    </row>
    <row r="768" spans="1:8" ht="12">
      <c r="A768" s="82">
        <v>31258</v>
      </c>
      <c r="B768" s="80" t="s">
        <v>555</v>
      </c>
      <c r="C768" s="56">
        <v>37426267</v>
      </c>
      <c r="D768" s="56">
        <v>15550952</v>
      </c>
      <c r="E768" s="56">
        <v>28068077</v>
      </c>
      <c r="F768" s="27">
        <f t="shared" si="211"/>
        <v>24909142</v>
      </c>
      <c r="G768" s="56">
        <v>0</v>
      </c>
      <c r="H768" s="57">
        <f t="shared" si="207"/>
        <v>24909142</v>
      </c>
    </row>
    <row r="769" spans="1:8" ht="12">
      <c r="A769" s="82">
        <v>31291</v>
      </c>
      <c r="B769" s="80" t="s">
        <v>542</v>
      </c>
      <c r="C769" s="56">
        <v>5610634852</v>
      </c>
      <c r="D769" s="56">
        <v>0</v>
      </c>
      <c r="E769" s="56">
        <v>2152743407</v>
      </c>
      <c r="F769" s="27">
        <f t="shared" si="211"/>
        <v>3457891445</v>
      </c>
      <c r="G769" s="56">
        <v>0</v>
      </c>
      <c r="H769" s="57">
        <f t="shared" si="207"/>
        <v>3457891445</v>
      </c>
    </row>
    <row r="770" spans="1:8" ht="12">
      <c r="A770" s="82">
        <v>31500</v>
      </c>
      <c r="B770" s="79" t="s">
        <v>556</v>
      </c>
      <c r="C770" s="54">
        <f aca="true" t="shared" si="212" ref="C770:H770">SUM(C771:C788)</f>
        <v>97551738</v>
      </c>
      <c r="D770" s="54">
        <f t="shared" si="212"/>
        <v>109643925</v>
      </c>
      <c r="E770" s="54">
        <f t="shared" si="212"/>
        <v>31568338</v>
      </c>
      <c r="F770" s="54">
        <f t="shared" si="212"/>
        <v>175627325</v>
      </c>
      <c r="G770" s="54">
        <f t="shared" si="212"/>
        <v>0</v>
      </c>
      <c r="H770" s="55">
        <f t="shared" si="212"/>
        <v>175627325</v>
      </c>
    </row>
    <row r="771" spans="1:8" ht="12">
      <c r="A771" s="82">
        <v>31511</v>
      </c>
      <c r="B771" s="80" t="s">
        <v>526</v>
      </c>
      <c r="C771" s="56">
        <v>228</v>
      </c>
      <c r="D771" s="56">
        <v>684</v>
      </c>
      <c r="E771" s="56">
        <v>0</v>
      </c>
      <c r="F771" s="27">
        <f aca="true" t="shared" si="213" ref="F771:F826">+C771+D771-E771</f>
        <v>912</v>
      </c>
      <c r="G771" s="56">
        <v>0</v>
      </c>
      <c r="H771" s="57">
        <f t="shared" si="207"/>
        <v>912</v>
      </c>
    </row>
    <row r="772" spans="1:8" ht="12">
      <c r="A772" s="82">
        <v>31512</v>
      </c>
      <c r="B772" s="80" t="s">
        <v>527</v>
      </c>
      <c r="C772" s="56">
        <v>147339</v>
      </c>
      <c r="D772" s="56">
        <v>17457</v>
      </c>
      <c r="E772" s="56">
        <v>58176</v>
      </c>
      <c r="F772" s="27">
        <f t="shared" si="213"/>
        <v>106620</v>
      </c>
      <c r="G772" s="56">
        <v>0</v>
      </c>
      <c r="H772" s="57">
        <f t="shared" si="207"/>
        <v>106620</v>
      </c>
    </row>
    <row r="773" spans="1:8" ht="12">
      <c r="A773" s="82">
        <v>31513</v>
      </c>
      <c r="B773" s="80" t="s">
        <v>557</v>
      </c>
      <c r="C773" s="56">
        <v>0</v>
      </c>
      <c r="D773" s="56">
        <v>30479</v>
      </c>
      <c r="E773" s="56">
        <v>30479</v>
      </c>
      <c r="F773" s="27">
        <f t="shared" si="213"/>
        <v>0</v>
      </c>
      <c r="G773" s="56">
        <v>0</v>
      </c>
      <c r="H773" s="57">
        <f t="shared" si="207"/>
        <v>0</v>
      </c>
    </row>
    <row r="774" spans="1:8" ht="12">
      <c r="A774" s="82">
        <v>31514</v>
      </c>
      <c r="B774" s="80" t="s">
        <v>558</v>
      </c>
      <c r="C774" s="56">
        <v>0</v>
      </c>
      <c r="D774" s="56">
        <v>104457</v>
      </c>
      <c r="E774" s="56">
        <v>104457</v>
      </c>
      <c r="F774" s="27">
        <f t="shared" si="213"/>
        <v>0</v>
      </c>
      <c r="G774" s="56">
        <v>0</v>
      </c>
      <c r="H774" s="57">
        <f t="shared" si="207"/>
        <v>0</v>
      </c>
    </row>
    <row r="775" spans="1:8" ht="12">
      <c r="A775" s="82">
        <v>31515</v>
      </c>
      <c r="B775" s="80" t="s">
        <v>530</v>
      </c>
      <c r="C775" s="56">
        <v>304858</v>
      </c>
      <c r="D775" s="56">
        <v>0</v>
      </c>
      <c r="E775" s="56">
        <v>66626</v>
      </c>
      <c r="F775" s="27">
        <f t="shared" si="213"/>
        <v>238232</v>
      </c>
      <c r="G775" s="56">
        <v>0</v>
      </c>
      <c r="H775" s="57">
        <f t="shared" si="207"/>
        <v>238232</v>
      </c>
    </row>
    <row r="776" spans="1:8" ht="12">
      <c r="A776" s="82">
        <v>31516</v>
      </c>
      <c r="B776" s="80" t="s">
        <v>559</v>
      </c>
      <c r="C776" s="56">
        <v>556019</v>
      </c>
      <c r="D776" s="56">
        <v>112731</v>
      </c>
      <c r="E776" s="56">
        <v>27276</v>
      </c>
      <c r="F776" s="27">
        <f t="shared" si="213"/>
        <v>641474</v>
      </c>
      <c r="G776" s="56">
        <v>0</v>
      </c>
      <c r="H776" s="57">
        <f t="shared" si="207"/>
        <v>641474</v>
      </c>
    </row>
    <row r="777" spans="1:8" ht="12">
      <c r="A777" s="82">
        <v>31517</v>
      </c>
      <c r="B777" s="80" t="s">
        <v>532</v>
      </c>
      <c r="C777" s="56">
        <v>23010</v>
      </c>
      <c r="D777" s="56">
        <v>469</v>
      </c>
      <c r="E777" s="56">
        <v>23010</v>
      </c>
      <c r="F777" s="27">
        <f t="shared" si="213"/>
        <v>469</v>
      </c>
      <c r="G777" s="56">
        <v>0</v>
      </c>
      <c r="H777" s="57">
        <f t="shared" si="207"/>
        <v>469</v>
      </c>
    </row>
    <row r="778" spans="1:8" ht="12">
      <c r="A778" s="82">
        <v>31518</v>
      </c>
      <c r="B778" s="80" t="s">
        <v>560</v>
      </c>
      <c r="C778" s="56">
        <v>0</v>
      </c>
      <c r="D778" s="56">
        <v>0</v>
      </c>
      <c r="E778" s="56">
        <v>0</v>
      </c>
      <c r="F778" s="27">
        <f t="shared" si="213"/>
        <v>0</v>
      </c>
      <c r="G778" s="56">
        <v>0</v>
      </c>
      <c r="H778" s="57">
        <f t="shared" si="207"/>
        <v>0</v>
      </c>
    </row>
    <row r="779" spans="1:8" ht="12">
      <c r="A779" s="82">
        <v>31520</v>
      </c>
      <c r="B779" s="80" t="s">
        <v>515</v>
      </c>
      <c r="C779" s="56">
        <v>2114139</v>
      </c>
      <c r="D779" s="56">
        <v>0</v>
      </c>
      <c r="E779" s="56">
        <v>1990733</v>
      </c>
      <c r="F779" s="27">
        <f t="shared" si="213"/>
        <v>123406</v>
      </c>
      <c r="G779" s="56">
        <v>0</v>
      </c>
      <c r="H779" s="57">
        <f t="shared" si="207"/>
        <v>123406</v>
      </c>
    </row>
    <row r="780" spans="1:8" ht="12">
      <c r="A780" s="82">
        <v>31521</v>
      </c>
      <c r="B780" s="80" t="s">
        <v>561</v>
      </c>
      <c r="C780" s="56">
        <v>199211</v>
      </c>
      <c r="D780" s="56">
        <v>137773</v>
      </c>
      <c r="E780" s="56">
        <v>61860</v>
      </c>
      <c r="F780" s="27">
        <f t="shared" si="213"/>
        <v>275124</v>
      </c>
      <c r="G780" s="56">
        <v>0</v>
      </c>
      <c r="H780" s="57">
        <f aca="true" t="shared" si="214" ref="H780:H826">+F780</f>
        <v>275124</v>
      </c>
    </row>
    <row r="781" spans="1:8" ht="12">
      <c r="A781" s="82">
        <v>31532</v>
      </c>
      <c r="B781" s="80" t="s">
        <v>562</v>
      </c>
      <c r="C781" s="56">
        <v>232329</v>
      </c>
      <c r="D781" s="56">
        <v>0</v>
      </c>
      <c r="E781" s="56">
        <v>0</v>
      </c>
      <c r="F781" s="27">
        <f t="shared" si="213"/>
        <v>232329</v>
      </c>
      <c r="G781" s="56">
        <v>0</v>
      </c>
      <c r="H781" s="57">
        <f t="shared" si="214"/>
        <v>232329</v>
      </c>
    </row>
    <row r="782" spans="1:8" ht="12">
      <c r="A782" s="82">
        <v>31534</v>
      </c>
      <c r="B782" s="80" t="s">
        <v>536</v>
      </c>
      <c r="C782" s="56">
        <v>0</v>
      </c>
      <c r="D782" s="56">
        <v>293009</v>
      </c>
      <c r="E782" s="56">
        <v>293009</v>
      </c>
      <c r="F782" s="27">
        <f t="shared" si="213"/>
        <v>0</v>
      </c>
      <c r="G782" s="56">
        <v>0</v>
      </c>
      <c r="H782" s="57">
        <f t="shared" si="214"/>
        <v>0</v>
      </c>
    </row>
    <row r="783" spans="1:8" ht="12">
      <c r="A783" s="82">
        <v>31538</v>
      </c>
      <c r="B783" s="80" t="s">
        <v>563</v>
      </c>
      <c r="C783" s="56">
        <v>0</v>
      </c>
      <c r="D783" s="56">
        <v>7273403</v>
      </c>
      <c r="E783" s="56">
        <v>0</v>
      </c>
      <c r="F783" s="27">
        <f t="shared" si="213"/>
        <v>7273403</v>
      </c>
      <c r="G783" s="56">
        <v>0</v>
      </c>
      <c r="H783" s="57">
        <f t="shared" si="214"/>
        <v>7273403</v>
      </c>
    </row>
    <row r="784" spans="1:8" ht="12">
      <c r="A784" s="82">
        <v>31543</v>
      </c>
      <c r="B784" s="80" t="s">
        <v>545</v>
      </c>
      <c r="C784" s="56">
        <v>2242231</v>
      </c>
      <c r="D784" s="56">
        <v>0</v>
      </c>
      <c r="E784" s="56">
        <v>0</v>
      </c>
      <c r="F784" s="27">
        <f t="shared" si="213"/>
        <v>2242231</v>
      </c>
      <c r="G784" s="56">
        <v>0</v>
      </c>
      <c r="H784" s="57">
        <f t="shared" si="214"/>
        <v>2242231</v>
      </c>
    </row>
    <row r="785" spans="1:8" ht="12">
      <c r="A785" s="82">
        <v>31544</v>
      </c>
      <c r="B785" s="80" t="s">
        <v>564</v>
      </c>
      <c r="C785" s="56">
        <v>0</v>
      </c>
      <c r="D785" s="56">
        <v>51101</v>
      </c>
      <c r="E785" s="56">
        <v>25977</v>
      </c>
      <c r="F785" s="27">
        <f t="shared" si="213"/>
        <v>25124</v>
      </c>
      <c r="G785" s="56">
        <v>0</v>
      </c>
      <c r="H785" s="57">
        <f t="shared" si="214"/>
        <v>25124</v>
      </c>
    </row>
    <row r="786" spans="1:8" ht="12">
      <c r="A786" s="82">
        <v>31546</v>
      </c>
      <c r="B786" s="80" t="s">
        <v>520</v>
      </c>
      <c r="C786" s="56">
        <v>0</v>
      </c>
      <c r="D786" s="56">
        <v>85556906</v>
      </c>
      <c r="E786" s="56">
        <v>0</v>
      </c>
      <c r="F786" s="27">
        <f t="shared" si="213"/>
        <v>85556906</v>
      </c>
      <c r="G786" s="56">
        <v>0</v>
      </c>
      <c r="H786" s="57">
        <f t="shared" si="214"/>
        <v>85556906</v>
      </c>
    </row>
    <row r="787" spans="1:8" ht="12">
      <c r="A787" s="82">
        <v>31558</v>
      </c>
      <c r="B787" s="80" t="s">
        <v>541</v>
      </c>
      <c r="C787" s="56">
        <v>14724754</v>
      </c>
      <c r="D787" s="56">
        <v>16065456</v>
      </c>
      <c r="E787" s="56">
        <v>8878</v>
      </c>
      <c r="F787" s="27">
        <f t="shared" si="213"/>
        <v>30781332</v>
      </c>
      <c r="G787" s="56">
        <v>0</v>
      </c>
      <c r="H787" s="57">
        <f t="shared" si="214"/>
        <v>30781332</v>
      </c>
    </row>
    <row r="788" spans="1:8" ht="12">
      <c r="A788" s="82">
        <v>31591</v>
      </c>
      <c r="B788" s="80" t="s">
        <v>542</v>
      </c>
      <c r="C788" s="56">
        <v>77007620</v>
      </c>
      <c r="D788" s="56">
        <v>0</v>
      </c>
      <c r="E788" s="56">
        <v>28877857</v>
      </c>
      <c r="F788" s="27">
        <f t="shared" si="213"/>
        <v>48129763</v>
      </c>
      <c r="G788" s="56">
        <v>0</v>
      </c>
      <c r="H788" s="57">
        <f t="shared" si="214"/>
        <v>48129763</v>
      </c>
    </row>
    <row r="789" spans="1:8" ht="12">
      <c r="A789" s="82">
        <v>32200</v>
      </c>
      <c r="B789" s="79" t="s">
        <v>565</v>
      </c>
      <c r="C789" s="54">
        <f aca="true" t="shared" si="215" ref="C789:H789">SUM(C790:C807)</f>
        <v>796542417</v>
      </c>
      <c r="D789" s="54">
        <f t="shared" si="215"/>
        <v>33275510</v>
      </c>
      <c r="E789" s="54">
        <f t="shared" si="215"/>
        <v>6887149</v>
      </c>
      <c r="F789" s="54">
        <f t="shared" si="215"/>
        <v>822930778</v>
      </c>
      <c r="G789" s="54">
        <f t="shared" si="215"/>
        <v>0</v>
      </c>
      <c r="H789" s="55">
        <f t="shared" si="215"/>
        <v>822930778</v>
      </c>
    </row>
    <row r="790" spans="1:8" ht="12">
      <c r="A790" s="82">
        <v>32211</v>
      </c>
      <c r="B790" s="80" t="s">
        <v>526</v>
      </c>
      <c r="C790" s="56">
        <v>0</v>
      </c>
      <c r="D790" s="56">
        <v>176432</v>
      </c>
      <c r="E790" s="56">
        <v>176432</v>
      </c>
      <c r="F790" s="27">
        <f t="shared" si="213"/>
        <v>0</v>
      </c>
      <c r="G790" s="56">
        <v>0</v>
      </c>
      <c r="H790" s="57">
        <f t="shared" si="214"/>
        <v>0</v>
      </c>
    </row>
    <row r="791" spans="1:8" ht="12">
      <c r="A791" s="82">
        <v>32212</v>
      </c>
      <c r="B791" s="80" t="s">
        <v>527</v>
      </c>
      <c r="C791" s="56">
        <v>0</v>
      </c>
      <c r="D791" s="56">
        <f>191571-173444</f>
        <v>18127</v>
      </c>
      <c r="E791" s="56">
        <v>2240</v>
      </c>
      <c r="F791" s="27">
        <f t="shared" si="213"/>
        <v>15887</v>
      </c>
      <c r="G791" s="56">
        <v>0</v>
      </c>
      <c r="H791" s="57">
        <f t="shared" si="214"/>
        <v>15887</v>
      </c>
    </row>
    <row r="792" spans="1:8" ht="12">
      <c r="A792" s="82">
        <v>32213</v>
      </c>
      <c r="B792" s="80" t="s">
        <v>566</v>
      </c>
      <c r="C792" s="56">
        <v>0</v>
      </c>
      <c r="D792" s="56">
        <f>101316-7649</f>
        <v>93667</v>
      </c>
      <c r="E792" s="56">
        <v>93666</v>
      </c>
      <c r="F792" s="27">
        <f t="shared" si="213"/>
        <v>1</v>
      </c>
      <c r="G792" s="56">
        <v>0</v>
      </c>
      <c r="H792" s="57">
        <f t="shared" si="214"/>
        <v>1</v>
      </c>
    </row>
    <row r="793" spans="1:8" ht="12">
      <c r="A793" s="82">
        <v>32214</v>
      </c>
      <c r="B793" s="80" t="s">
        <v>529</v>
      </c>
      <c r="C793" s="56">
        <v>0</v>
      </c>
      <c r="D793" s="56">
        <f>99212-8938</f>
        <v>90274</v>
      </c>
      <c r="E793" s="56">
        <v>90273</v>
      </c>
      <c r="F793" s="27">
        <f t="shared" si="213"/>
        <v>1</v>
      </c>
      <c r="G793" s="56">
        <v>0</v>
      </c>
      <c r="H793" s="57">
        <f t="shared" si="214"/>
        <v>1</v>
      </c>
    </row>
    <row r="794" spans="1:8" ht="12">
      <c r="A794" s="82">
        <v>32215</v>
      </c>
      <c r="B794" s="80" t="s">
        <v>530</v>
      </c>
      <c r="C794" s="56">
        <v>0</v>
      </c>
      <c r="D794" s="56">
        <f>148499-138395</f>
        <v>10104</v>
      </c>
      <c r="E794" s="56">
        <v>10104</v>
      </c>
      <c r="F794" s="27">
        <f t="shared" si="213"/>
        <v>0</v>
      </c>
      <c r="G794" s="56">
        <v>0</v>
      </c>
      <c r="H794" s="57">
        <f t="shared" si="214"/>
        <v>0</v>
      </c>
    </row>
    <row r="795" spans="1:8" ht="12">
      <c r="A795" s="82">
        <v>32216</v>
      </c>
      <c r="B795" s="80" t="s">
        <v>531</v>
      </c>
      <c r="C795" s="56">
        <v>0</v>
      </c>
      <c r="D795" s="56">
        <f>196793-160316</f>
        <v>36477</v>
      </c>
      <c r="E795" s="56">
        <v>20344</v>
      </c>
      <c r="F795" s="27">
        <f t="shared" si="213"/>
        <v>16133</v>
      </c>
      <c r="G795" s="56">
        <v>0</v>
      </c>
      <c r="H795" s="57">
        <f t="shared" si="214"/>
        <v>16133</v>
      </c>
    </row>
    <row r="796" spans="1:8" ht="12">
      <c r="A796" s="82">
        <v>32217</v>
      </c>
      <c r="B796" s="80" t="s">
        <v>567</v>
      </c>
      <c r="C796" s="56">
        <v>0</v>
      </c>
      <c r="D796" s="56">
        <v>0</v>
      </c>
      <c r="E796" s="56">
        <v>0</v>
      </c>
      <c r="F796" s="27">
        <f t="shared" si="213"/>
        <v>0</v>
      </c>
      <c r="G796" s="56">
        <v>0</v>
      </c>
      <c r="H796" s="57">
        <f t="shared" si="214"/>
        <v>0</v>
      </c>
    </row>
    <row r="797" spans="1:8" ht="12">
      <c r="A797" s="82">
        <v>32218</v>
      </c>
      <c r="B797" s="80" t="s">
        <v>544</v>
      </c>
      <c r="C797" s="56">
        <v>0</v>
      </c>
      <c r="D797" s="56">
        <v>0</v>
      </c>
      <c r="E797" s="56">
        <v>0</v>
      </c>
      <c r="F797" s="27">
        <f t="shared" si="213"/>
        <v>0</v>
      </c>
      <c r="G797" s="56">
        <v>0</v>
      </c>
      <c r="H797" s="57">
        <f t="shared" si="214"/>
        <v>0</v>
      </c>
    </row>
    <row r="798" spans="1:8" ht="12">
      <c r="A798" s="82">
        <v>32220</v>
      </c>
      <c r="B798" s="80" t="s">
        <v>515</v>
      </c>
      <c r="C798" s="56">
        <v>0</v>
      </c>
      <c r="D798" s="56">
        <v>0</v>
      </c>
      <c r="E798" s="56">
        <v>0</v>
      </c>
      <c r="F798" s="27">
        <f t="shared" si="213"/>
        <v>0</v>
      </c>
      <c r="G798" s="56">
        <v>0</v>
      </c>
      <c r="H798" s="57">
        <f t="shared" si="214"/>
        <v>0</v>
      </c>
    </row>
    <row r="799" spans="1:8" ht="12">
      <c r="A799" s="82">
        <v>32221</v>
      </c>
      <c r="B799" s="80" t="s">
        <v>552</v>
      </c>
      <c r="C799" s="56">
        <v>0</v>
      </c>
      <c r="D799" s="56">
        <v>5644</v>
      </c>
      <c r="E799" s="56">
        <v>0</v>
      </c>
      <c r="F799" s="27">
        <f t="shared" si="213"/>
        <v>5644</v>
      </c>
      <c r="G799" s="56">
        <v>0</v>
      </c>
      <c r="H799" s="57">
        <f t="shared" si="214"/>
        <v>5644</v>
      </c>
    </row>
    <row r="800" spans="1:8" ht="22.5">
      <c r="A800" s="82">
        <v>32232</v>
      </c>
      <c r="B800" s="80" t="s">
        <v>535</v>
      </c>
      <c r="C800" s="56">
        <v>0</v>
      </c>
      <c r="D800" s="56">
        <v>65000</v>
      </c>
      <c r="E800" s="56">
        <v>65000</v>
      </c>
      <c r="F800" s="27">
        <f t="shared" si="213"/>
        <v>0</v>
      </c>
      <c r="G800" s="56">
        <v>0</v>
      </c>
      <c r="H800" s="57">
        <f t="shared" si="214"/>
        <v>0</v>
      </c>
    </row>
    <row r="801" spans="1:8" ht="12">
      <c r="A801" s="82">
        <v>32234</v>
      </c>
      <c r="B801" s="80" t="s">
        <v>536</v>
      </c>
      <c r="C801" s="56">
        <v>0</v>
      </c>
      <c r="D801" s="56">
        <v>0</v>
      </c>
      <c r="E801" s="56">
        <v>0</v>
      </c>
      <c r="F801" s="27">
        <f t="shared" si="213"/>
        <v>0</v>
      </c>
      <c r="G801" s="56">
        <v>0</v>
      </c>
      <c r="H801" s="57">
        <f t="shared" si="214"/>
        <v>0</v>
      </c>
    </row>
    <row r="802" spans="1:8" ht="12">
      <c r="A802" s="82">
        <v>32238</v>
      </c>
      <c r="B802" s="80" t="s">
        <v>537</v>
      </c>
      <c r="C802" s="56">
        <v>78464427</v>
      </c>
      <c r="D802" s="56">
        <v>0</v>
      </c>
      <c r="E802" s="56">
        <v>0</v>
      </c>
      <c r="F802" s="27">
        <f t="shared" si="213"/>
        <v>78464427</v>
      </c>
      <c r="G802" s="56">
        <v>0</v>
      </c>
      <c r="H802" s="57">
        <f t="shared" si="214"/>
        <v>78464427</v>
      </c>
    </row>
    <row r="803" spans="1:8" ht="12">
      <c r="A803" s="82">
        <v>32243</v>
      </c>
      <c r="B803" s="80" t="s">
        <v>545</v>
      </c>
      <c r="C803" s="56">
        <v>0</v>
      </c>
      <c r="D803" s="56">
        <v>0</v>
      </c>
      <c r="E803" s="56">
        <v>0</v>
      </c>
      <c r="F803" s="27">
        <f t="shared" si="213"/>
        <v>0</v>
      </c>
      <c r="G803" s="56">
        <v>0</v>
      </c>
      <c r="H803" s="57">
        <f t="shared" si="214"/>
        <v>0</v>
      </c>
    </row>
    <row r="804" spans="1:8" ht="12">
      <c r="A804" s="82">
        <v>32244</v>
      </c>
      <c r="B804" s="80" t="s">
        <v>568</v>
      </c>
      <c r="C804" s="56">
        <v>0</v>
      </c>
      <c r="D804" s="56">
        <v>57889</v>
      </c>
      <c r="E804" s="56">
        <v>57889</v>
      </c>
      <c r="F804" s="27">
        <f t="shared" si="213"/>
        <v>0</v>
      </c>
      <c r="G804" s="56">
        <v>0</v>
      </c>
      <c r="H804" s="57">
        <f t="shared" si="214"/>
        <v>0</v>
      </c>
    </row>
    <row r="805" spans="1:8" ht="12">
      <c r="A805" s="82">
        <v>32246</v>
      </c>
      <c r="B805" s="80" t="s">
        <v>520</v>
      </c>
      <c r="C805" s="56">
        <v>0</v>
      </c>
      <c r="D805" s="56">
        <v>0</v>
      </c>
      <c r="E805" s="56">
        <v>0</v>
      </c>
      <c r="F805" s="27">
        <f t="shared" si="213"/>
        <v>0</v>
      </c>
      <c r="G805" s="56">
        <v>0</v>
      </c>
      <c r="H805" s="57">
        <f t="shared" si="214"/>
        <v>0</v>
      </c>
    </row>
    <row r="806" spans="1:8" ht="12">
      <c r="A806" s="82">
        <v>32258</v>
      </c>
      <c r="B806" s="80" t="s">
        <v>555</v>
      </c>
      <c r="C806" s="56">
        <v>340218</v>
      </c>
      <c r="D806" s="56">
        <v>744377</v>
      </c>
      <c r="E806" s="56">
        <v>884394</v>
      </c>
      <c r="F806" s="27">
        <f t="shared" si="213"/>
        <v>200201</v>
      </c>
      <c r="G806" s="56">
        <v>0</v>
      </c>
      <c r="H806" s="57">
        <f t="shared" si="214"/>
        <v>200201</v>
      </c>
    </row>
    <row r="807" spans="1:8" ht="12">
      <c r="A807" s="82">
        <v>32291</v>
      </c>
      <c r="B807" s="80" t="s">
        <v>542</v>
      </c>
      <c r="C807" s="56">
        <v>717737772</v>
      </c>
      <c r="D807" s="56">
        <v>31977519</v>
      </c>
      <c r="E807" s="56">
        <v>5486807</v>
      </c>
      <c r="F807" s="27">
        <f t="shared" si="213"/>
        <v>744228484</v>
      </c>
      <c r="G807" s="56">
        <v>0</v>
      </c>
      <c r="H807" s="57">
        <f t="shared" si="214"/>
        <v>744228484</v>
      </c>
    </row>
    <row r="808" spans="1:8" ht="12">
      <c r="A808" s="82">
        <v>33000</v>
      </c>
      <c r="B808" s="79" t="s">
        <v>569</v>
      </c>
      <c r="C808" s="54">
        <f aca="true" t="shared" si="216" ref="C808:H808">SUM(C809:C826)</f>
        <v>2807088234</v>
      </c>
      <c r="D808" s="54">
        <f t="shared" si="216"/>
        <v>3044129685</v>
      </c>
      <c r="E808" s="54">
        <f t="shared" si="216"/>
        <v>469</v>
      </c>
      <c r="F808" s="54">
        <f t="shared" si="216"/>
        <v>5851217450</v>
      </c>
      <c r="G808" s="54">
        <f t="shared" si="216"/>
        <v>0</v>
      </c>
      <c r="H808" s="55">
        <f t="shared" si="216"/>
        <v>5851217450</v>
      </c>
    </row>
    <row r="809" spans="1:8" ht="12">
      <c r="A809" s="82">
        <v>33011</v>
      </c>
      <c r="B809" s="80" t="s">
        <v>526</v>
      </c>
      <c r="C809" s="56">
        <v>2448422</v>
      </c>
      <c r="D809" s="56">
        <f>3034767-286254</f>
        <v>2748513</v>
      </c>
      <c r="E809" s="56">
        <v>0</v>
      </c>
      <c r="F809" s="27">
        <f t="shared" si="213"/>
        <v>5196935</v>
      </c>
      <c r="G809" s="56">
        <v>0</v>
      </c>
      <c r="H809" s="57">
        <f t="shared" si="214"/>
        <v>5196935</v>
      </c>
    </row>
    <row r="810" spans="1:8" ht="12">
      <c r="A810" s="82">
        <v>33012</v>
      </c>
      <c r="B810" s="80" t="s">
        <v>527</v>
      </c>
      <c r="C810" s="56">
        <v>25348</v>
      </c>
      <c r="D810" s="56">
        <f>1178127-1110782</f>
        <v>67345</v>
      </c>
      <c r="E810" s="56">
        <v>0</v>
      </c>
      <c r="F810" s="27">
        <f t="shared" si="213"/>
        <v>92693</v>
      </c>
      <c r="G810" s="56">
        <v>0</v>
      </c>
      <c r="H810" s="57">
        <f t="shared" si="214"/>
        <v>92693</v>
      </c>
    </row>
    <row r="811" spans="1:8" ht="12">
      <c r="A811" s="82">
        <v>33013</v>
      </c>
      <c r="B811" s="80" t="s">
        <v>566</v>
      </c>
      <c r="C811" s="56">
        <v>355466</v>
      </c>
      <c r="D811" s="56">
        <f>285328-34696</f>
        <v>250632</v>
      </c>
      <c r="E811" s="56">
        <v>0</v>
      </c>
      <c r="F811" s="27">
        <f t="shared" si="213"/>
        <v>606098</v>
      </c>
      <c r="G811" s="56">
        <v>0</v>
      </c>
      <c r="H811" s="57">
        <f t="shared" si="214"/>
        <v>606098</v>
      </c>
    </row>
    <row r="812" spans="1:8" ht="12">
      <c r="A812" s="82">
        <v>33014</v>
      </c>
      <c r="B812" s="80" t="s">
        <v>529</v>
      </c>
      <c r="C812" s="56">
        <v>452420</v>
      </c>
      <c r="D812" s="56">
        <f>428638-36187</f>
        <v>392451</v>
      </c>
      <c r="E812" s="56">
        <v>0</v>
      </c>
      <c r="F812" s="27">
        <f t="shared" si="213"/>
        <v>844871</v>
      </c>
      <c r="G812" s="56">
        <v>0</v>
      </c>
      <c r="H812" s="57">
        <f t="shared" si="214"/>
        <v>844871</v>
      </c>
    </row>
    <row r="813" spans="1:8" ht="12">
      <c r="A813" s="82">
        <v>33015</v>
      </c>
      <c r="B813" s="80" t="s">
        <v>530</v>
      </c>
      <c r="C813" s="56">
        <v>11000</v>
      </c>
      <c r="D813" s="56">
        <f>749072-669946</f>
        <v>79126</v>
      </c>
      <c r="E813" s="56">
        <v>0</v>
      </c>
      <c r="F813" s="27">
        <f t="shared" si="213"/>
        <v>90126</v>
      </c>
      <c r="G813" s="56">
        <v>0</v>
      </c>
      <c r="H813" s="57">
        <f t="shared" si="214"/>
        <v>90126</v>
      </c>
    </row>
    <row r="814" spans="1:8" ht="12">
      <c r="A814" s="82">
        <v>33016</v>
      </c>
      <c r="B814" s="80" t="s">
        <v>570</v>
      </c>
      <c r="C814" s="56">
        <v>183938</v>
      </c>
      <c r="D814" s="56">
        <f>530570-256804</f>
        <v>273766</v>
      </c>
      <c r="E814" s="56">
        <v>0</v>
      </c>
      <c r="F814" s="27">
        <f t="shared" si="213"/>
        <v>457704</v>
      </c>
      <c r="G814" s="56">
        <v>0</v>
      </c>
      <c r="H814" s="57">
        <f t="shared" si="214"/>
        <v>457704</v>
      </c>
    </row>
    <row r="815" spans="1:8" ht="12">
      <c r="A815" s="82">
        <v>33017</v>
      </c>
      <c r="B815" s="80" t="s">
        <v>567</v>
      </c>
      <c r="C815" s="56">
        <v>0</v>
      </c>
      <c r="D815" s="56">
        <f>41465-13383</f>
        <v>28082</v>
      </c>
      <c r="E815" s="56">
        <v>469</v>
      </c>
      <c r="F815" s="27">
        <f t="shared" si="213"/>
        <v>27613</v>
      </c>
      <c r="G815" s="56">
        <v>0</v>
      </c>
      <c r="H815" s="57">
        <f t="shared" si="214"/>
        <v>27613</v>
      </c>
    </row>
    <row r="816" spans="1:8" ht="12">
      <c r="A816" s="82">
        <v>33018</v>
      </c>
      <c r="B816" s="80" t="s">
        <v>560</v>
      </c>
      <c r="C816" s="56">
        <v>0</v>
      </c>
      <c r="D816" s="56">
        <v>0</v>
      </c>
      <c r="E816" s="56">
        <v>0</v>
      </c>
      <c r="F816" s="27">
        <f t="shared" si="213"/>
        <v>0</v>
      </c>
      <c r="G816" s="56">
        <v>0</v>
      </c>
      <c r="H816" s="57">
        <f t="shared" si="214"/>
        <v>0</v>
      </c>
    </row>
    <row r="817" spans="1:8" ht="12">
      <c r="A817" s="82">
        <v>33020</v>
      </c>
      <c r="B817" s="80" t="s">
        <v>515</v>
      </c>
      <c r="C817" s="56">
        <v>8549284</v>
      </c>
      <c r="D817" s="56">
        <v>1990733</v>
      </c>
      <c r="E817" s="56">
        <v>0</v>
      </c>
      <c r="F817" s="27">
        <f t="shared" si="213"/>
        <v>10540017</v>
      </c>
      <c r="G817" s="56">
        <v>0</v>
      </c>
      <c r="H817" s="57">
        <f t="shared" si="214"/>
        <v>10540017</v>
      </c>
    </row>
    <row r="818" spans="1:8" ht="12">
      <c r="A818" s="82">
        <v>33021</v>
      </c>
      <c r="B818" s="80" t="s">
        <v>552</v>
      </c>
      <c r="C818" s="56">
        <v>243888</v>
      </c>
      <c r="D818" s="56">
        <v>505015</v>
      </c>
      <c r="E818" s="56">
        <v>0</v>
      </c>
      <c r="F818" s="27">
        <f t="shared" si="213"/>
        <v>748903</v>
      </c>
      <c r="G818" s="56">
        <v>0</v>
      </c>
      <c r="H818" s="57">
        <f t="shared" si="214"/>
        <v>748903</v>
      </c>
    </row>
    <row r="819" spans="1:8" ht="22.5">
      <c r="A819" s="82">
        <v>33032</v>
      </c>
      <c r="B819" s="80" t="s">
        <v>535</v>
      </c>
      <c r="C819" s="56">
        <v>1056055</v>
      </c>
      <c r="D819" s="56">
        <v>846375</v>
      </c>
      <c r="E819" s="56">
        <v>0</v>
      </c>
      <c r="F819" s="27">
        <f t="shared" si="213"/>
        <v>1902430</v>
      </c>
      <c r="G819" s="56">
        <v>0</v>
      </c>
      <c r="H819" s="57">
        <f t="shared" si="214"/>
        <v>1902430</v>
      </c>
    </row>
    <row r="820" spans="1:8" ht="12">
      <c r="A820" s="82">
        <v>33034</v>
      </c>
      <c r="B820" s="80" t="s">
        <v>536</v>
      </c>
      <c r="C820" s="56">
        <v>0</v>
      </c>
      <c r="D820" s="56">
        <v>635710</v>
      </c>
      <c r="E820" s="56">
        <v>0</v>
      </c>
      <c r="F820" s="27">
        <f t="shared" si="213"/>
        <v>635710</v>
      </c>
      <c r="G820" s="56">
        <v>0</v>
      </c>
      <c r="H820" s="57">
        <f t="shared" si="214"/>
        <v>635710</v>
      </c>
    </row>
    <row r="821" spans="1:8" ht="12">
      <c r="A821" s="82">
        <v>33038</v>
      </c>
      <c r="B821" s="80" t="s">
        <v>537</v>
      </c>
      <c r="C821" s="56">
        <v>264486892</v>
      </c>
      <c r="D821" s="56">
        <v>507444105</v>
      </c>
      <c r="E821" s="56">
        <v>0</v>
      </c>
      <c r="F821" s="27">
        <f t="shared" si="213"/>
        <v>771930997</v>
      </c>
      <c r="G821" s="56">
        <v>0</v>
      </c>
      <c r="H821" s="57">
        <f t="shared" si="214"/>
        <v>771930997</v>
      </c>
    </row>
    <row r="822" spans="1:8" ht="12">
      <c r="A822" s="82">
        <v>33043</v>
      </c>
      <c r="B822" s="80" t="s">
        <v>545</v>
      </c>
      <c r="C822" s="56">
        <v>2028143</v>
      </c>
      <c r="D822" s="56">
        <v>0</v>
      </c>
      <c r="E822" s="56">
        <v>0</v>
      </c>
      <c r="F822" s="27">
        <f t="shared" si="213"/>
        <v>2028143</v>
      </c>
      <c r="G822" s="56">
        <v>0</v>
      </c>
      <c r="H822" s="57">
        <f t="shared" si="214"/>
        <v>2028143</v>
      </c>
    </row>
    <row r="823" spans="1:8" ht="12">
      <c r="A823" s="82">
        <v>33044</v>
      </c>
      <c r="B823" s="80" t="s">
        <v>546</v>
      </c>
      <c r="C823" s="56">
        <v>0</v>
      </c>
      <c r="D823" s="56">
        <v>574833</v>
      </c>
      <c r="E823" s="56">
        <v>0</v>
      </c>
      <c r="F823" s="27">
        <f t="shared" si="213"/>
        <v>574833</v>
      </c>
      <c r="G823" s="56">
        <v>0</v>
      </c>
      <c r="H823" s="57">
        <f t="shared" si="214"/>
        <v>574833</v>
      </c>
    </row>
    <row r="824" spans="1:8" ht="12">
      <c r="A824" s="82">
        <v>33046</v>
      </c>
      <c r="B824" s="80" t="s">
        <v>540</v>
      </c>
      <c r="C824" s="56">
        <v>341409786</v>
      </c>
      <c r="D824" s="56">
        <v>350039372</v>
      </c>
      <c r="E824" s="56">
        <v>0</v>
      </c>
      <c r="F824" s="27">
        <f t="shared" si="213"/>
        <v>691449158</v>
      </c>
      <c r="G824" s="56">
        <v>0</v>
      </c>
      <c r="H824" s="57">
        <f t="shared" si="214"/>
        <v>691449158</v>
      </c>
    </row>
    <row r="825" spans="1:8" ht="12">
      <c r="A825" s="82">
        <v>33058</v>
      </c>
      <c r="B825" s="80" t="s">
        <v>571</v>
      </c>
      <c r="C825" s="56">
        <v>35074809</v>
      </c>
      <c r="D825" s="56">
        <v>23123075</v>
      </c>
      <c r="E825" s="56">
        <v>0</v>
      </c>
      <c r="F825" s="27">
        <f t="shared" si="213"/>
        <v>58197884</v>
      </c>
      <c r="G825" s="56">
        <v>0</v>
      </c>
      <c r="H825" s="57">
        <f t="shared" si="214"/>
        <v>58197884</v>
      </c>
    </row>
    <row r="826" spans="1:8" ht="12">
      <c r="A826" s="82">
        <v>33091</v>
      </c>
      <c r="B826" s="80" t="s">
        <v>542</v>
      </c>
      <c r="C826" s="56">
        <v>2150762783</v>
      </c>
      <c r="D826" s="56">
        <v>2155130552</v>
      </c>
      <c r="E826" s="56">
        <v>0</v>
      </c>
      <c r="F826" s="27">
        <f t="shared" si="213"/>
        <v>4305893335</v>
      </c>
      <c r="G826" s="56">
        <v>0</v>
      </c>
      <c r="H826" s="57">
        <f t="shared" si="214"/>
        <v>4305893335</v>
      </c>
    </row>
    <row r="827" spans="1:8" ht="12">
      <c r="A827" s="82">
        <v>40000</v>
      </c>
      <c r="B827" s="79" t="s">
        <v>497</v>
      </c>
      <c r="C827" s="54">
        <f aca="true" t="shared" si="217" ref="C827:H827">C828+C833+C839+C844</f>
        <v>0</v>
      </c>
      <c r="D827" s="54">
        <f t="shared" si="217"/>
        <v>68243607</v>
      </c>
      <c r="E827" s="54">
        <f t="shared" si="217"/>
        <v>68243607</v>
      </c>
      <c r="F827" s="54">
        <f t="shared" si="217"/>
        <v>0</v>
      </c>
      <c r="G827" s="54">
        <f t="shared" si="217"/>
        <v>0</v>
      </c>
      <c r="H827" s="55">
        <f t="shared" si="217"/>
        <v>0</v>
      </c>
    </row>
    <row r="828" spans="1:8" ht="12">
      <c r="A828" s="82">
        <v>40500</v>
      </c>
      <c r="B828" s="79" t="s">
        <v>572</v>
      </c>
      <c r="C828" s="54">
        <f aca="true" t="shared" si="218" ref="C828:H828">SUM(C829:C832)</f>
        <v>-268928487</v>
      </c>
      <c r="D828" s="54">
        <f t="shared" si="218"/>
        <v>33684</v>
      </c>
      <c r="E828" s="54">
        <f t="shared" si="218"/>
        <v>0</v>
      </c>
      <c r="F828" s="54">
        <f t="shared" si="218"/>
        <v>-268894803</v>
      </c>
      <c r="G828" s="54">
        <f t="shared" si="218"/>
        <v>0</v>
      </c>
      <c r="H828" s="55">
        <f t="shared" si="218"/>
        <v>-268894803</v>
      </c>
    </row>
    <row r="829" spans="1:8" ht="12">
      <c r="A829" s="82">
        <v>40501</v>
      </c>
      <c r="B829" s="80" t="s">
        <v>262</v>
      </c>
      <c r="C829" s="56">
        <v>-610301</v>
      </c>
      <c r="D829" s="56">
        <v>8876</v>
      </c>
      <c r="E829" s="56">
        <v>0</v>
      </c>
      <c r="F829" s="27">
        <f>C829+D829-E829</f>
        <v>-601425</v>
      </c>
      <c r="G829" s="56">
        <v>0</v>
      </c>
      <c r="H829" s="57">
        <f aca="true" t="shared" si="219" ref="H829:H849">+F829</f>
        <v>-601425</v>
      </c>
    </row>
    <row r="830" spans="1:8" ht="12">
      <c r="A830" s="82">
        <v>40502</v>
      </c>
      <c r="B830" s="80" t="s">
        <v>263</v>
      </c>
      <c r="C830" s="56">
        <v>-535197</v>
      </c>
      <c r="D830" s="56">
        <v>0</v>
      </c>
      <c r="E830" s="56">
        <v>0</v>
      </c>
      <c r="F830" s="27">
        <f>C830+D830-E830</f>
        <v>-535197</v>
      </c>
      <c r="G830" s="56">
        <v>0</v>
      </c>
      <c r="H830" s="57">
        <f t="shared" si="219"/>
        <v>-535197</v>
      </c>
    </row>
    <row r="831" spans="1:8" ht="12">
      <c r="A831" s="82">
        <v>40503</v>
      </c>
      <c r="B831" s="80" t="s">
        <v>265</v>
      </c>
      <c r="C831" s="56">
        <v>-54569253</v>
      </c>
      <c r="D831" s="56">
        <v>0</v>
      </c>
      <c r="E831" s="56">
        <v>0</v>
      </c>
      <c r="F831" s="27">
        <f>C831+D831-E831</f>
        <v>-54569253</v>
      </c>
      <c r="G831" s="56">
        <v>0</v>
      </c>
      <c r="H831" s="57">
        <f t="shared" si="219"/>
        <v>-54569253</v>
      </c>
    </row>
    <row r="832" spans="1:8" ht="12">
      <c r="A832" s="82">
        <v>40508</v>
      </c>
      <c r="B832" s="80" t="s">
        <v>264</v>
      </c>
      <c r="C832" s="56">
        <v>-213213736</v>
      </c>
      <c r="D832" s="56">
        <v>24808</v>
      </c>
      <c r="E832" s="56">
        <v>0</v>
      </c>
      <c r="F832" s="27">
        <f>C832+D832-E832</f>
        <v>-213188928</v>
      </c>
      <c r="G832" s="56">
        <v>0</v>
      </c>
      <c r="H832" s="57">
        <f t="shared" si="219"/>
        <v>-213188928</v>
      </c>
    </row>
    <row r="833" spans="1:8" ht="12">
      <c r="A833" s="82">
        <v>41000</v>
      </c>
      <c r="B833" s="79" t="s">
        <v>573</v>
      </c>
      <c r="C833" s="54">
        <f aca="true" t="shared" si="220" ref="C833:H833">SUM(C834:C838)</f>
        <v>223252734</v>
      </c>
      <c r="D833" s="54">
        <f t="shared" si="220"/>
        <v>0</v>
      </c>
      <c r="E833" s="54">
        <f t="shared" si="220"/>
        <v>54540616</v>
      </c>
      <c r="F833" s="54">
        <f t="shared" si="220"/>
        <v>168712118</v>
      </c>
      <c r="G833" s="54">
        <f t="shared" si="220"/>
        <v>0</v>
      </c>
      <c r="H833" s="55">
        <f t="shared" si="220"/>
        <v>168712118</v>
      </c>
    </row>
    <row r="834" spans="1:8" ht="12">
      <c r="A834" s="82">
        <v>41001</v>
      </c>
      <c r="B834" s="80" t="s">
        <v>262</v>
      </c>
      <c r="C834" s="56">
        <v>494039</v>
      </c>
      <c r="D834" s="56">
        <v>0</v>
      </c>
      <c r="E834" s="56">
        <v>214044</v>
      </c>
      <c r="F834" s="27">
        <f aca="true" t="shared" si="221" ref="F834:F874">+C834+D834-E834</f>
        <v>279995</v>
      </c>
      <c r="G834" s="56">
        <v>0</v>
      </c>
      <c r="H834" s="57">
        <f t="shared" si="219"/>
        <v>279995</v>
      </c>
    </row>
    <row r="835" spans="1:8" ht="12">
      <c r="A835" s="82">
        <v>41002</v>
      </c>
      <c r="B835" s="80" t="s">
        <v>263</v>
      </c>
      <c r="C835" s="56">
        <v>301039</v>
      </c>
      <c r="D835" s="56">
        <v>0</v>
      </c>
      <c r="E835" s="56">
        <v>205814</v>
      </c>
      <c r="F835" s="27">
        <f t="shared" si="221"/>
        <v>95225</v>
      </c>
      <c r="G835" s="56">
        <v>0</v>
      </c>
      <c r="H835" s="57">
        <f t="shared" si="219"/>
        <v>95225</v>
      </c>
    </row>
    <row r="836" spans="1:8" ht="12">
      <c r="A836" s="82">
        <v>41003</v>
      </c>
      <c r="B836" s="80" t="s">
        <v>265</v>
      </c>
      <c r="C836" s="56">
        <v>54131431</v>
      </c>
      <c r="D836" s="56">
        <v>0</v>
      </c>
      <c r="E836" s="56">
        <v>117772</v>
      </c>
      <c r="F836" s="27">
        <f t="shared" si="221"/>
        <v>54013659</v>
      </c>
      <c r="G836" s="56">
        <v>0</v>
      </c>
      <c r="H836" s="57">
        <f t="shared" si="219"/>
        <v>54013659</v>
      </c>
    </row>
    <row r="837" spans="1:8" ht="12">
      <c r="A837" s="82">
        <v>41004</v>
      </c>
      <c r="B837" s="80" t="s">
        <v>574</v>
      </c>
      <c r="C837" s="56">
        <v>0</v>
      </c>
      <c r="D837" s="56">
        <v>0</v>
      </c>
      <c r="E837" s="56">
        <v>0</v>
      </c>
      <c r="F837" s="27">
        <f t="shared" si="221"/>
        <v>0</v>
      </c>
      <c r="G837" s="56">
        <v>0</v>
      </c>
      <c r="H837" s="57">
        <f t="shared" si="219"/>
        <v>0</v>
      </c>
    </row>
    <row r="838" spans="1:8" ht="12">
      <c r="A838" s="82">
        <v>41008</v>
      </c>
      <c r="B838" s="80" t="s">
        <v>264</v>
      </c>
      <c r="C838" s="56">
        <v>168326225</v>
      </c>
      <c r="D838" s="56">
        <v>0</v>
      </c>
      <c r="E838" s="56">
        <v>54002986</v>
      </c>
      <c r="F838" s="27">
        <f t="shared" si="221"/>
        <v>114323239</v>
      </c>
      <c r="G838" s="56">
        <v>0</v>
      </c>
      <c r="H838" s="57">
        <f t="shared" si="219"/>
        <v>114323239</v>
      </c>
    </row>
    <row r="839" spans="1:8" ht="12">
      <c r="A839" s="82">
        <v>41500</v>
      </c>
      <c r="B839" s="79" t="s">
        <v>575</v>
      </c>
      <c r="C839" s="54">
        <f aca="true" t="shared" si="222" ref="C839:H839">SUM(C840:C843)</f>
        <v>3163490</v>
      </c>
      <c r="D839" s="54">
        <f t="shared" si="222"/>
        <v>13398227</v>
      </c>
      <c r="E839" s="54">
        <f t="shared" si="222"/>
        <v>13702991</v>
      </c>
      <c r="F839" s="54">
        <f t="shared" si="222"/>
        <v>2858726</v>
      </c>
      <c r="G839" s="54">
        <f t="shared" si="222"/>
        <v>0</v>
      </c>
      <c r="H839" s="55">
        <f t="shared" si="222"/>
        <v>2858726</v>
      </c>
    </row>
    <row r="840" spans="1:8" ht="12">
      <c r="A840" s="82">
        <v>41501</v>
      </c>
      <c r="B840" s="80" t="s">
        <v>576</v>
      </c>
      <c r="C840" s="56">
        <v>22850</v>
      </c>
      <c r="D840" s="56">
        <v>14475</v>
      </c>
      <c r="E840" s="56">
        <v>23267</v>
      </c>
      <c r="F840" s="27">
        <f t="shared" si="221"/>
        <v>14058</v>
      </c>
      <c r="G840" s="56">
        <v>0</v>
      </c>
      <c r="H840" s="57">
        <f t="shared" si="219"/>
        <v>14058</v>
      </c>
    </row>
    <row r="841" spans="1:8" ht="12">
      <c r="A841" s="82">
        <v>41502</v>
      </c>
      <c r="B841" s="80" t="s">
        <v>263</v>
      </c>
      <c r="C841" s="56">
        <v>45735</v>
      </c>
      <c r="D841" s="56">
        <v>23190</v>
      </c>
      <c r="E841" s="56">
        <v>64661</v>
      </c>
      <c r="F841" s="27">
        <f t="shared" si="221"/>
        <v>4264</v>
      </c>
      <c r="G841" s="56">
        <v>0</v>
      </c>
      <c r="H841" s="57">
        <f t="shared" si="219"/>
        <v>4264</v>
      </c>
    </row>
    <row r="842" spans="1:8" ht="12">
      <c r="A842" s="82">
        <v>41503</v>
      </c>
      <c r="B842" s="80" t="s">
        <v>265</v>
      </c>
      <c r="C842" s="56">
        <v>1500</v>
      </c>
      <c r="D842" s="56">
        <v>3587</v>
      </c>
      <c r="E842" s="56">
        <v>5087</v>
      </c>
      <c r="F842" s="27">
        <f t="shared" si="221"/>
        <v>0</v>
      </c>
      <c r="G842" s="56">
        <v>0</v>
      </c>
      <c r="H842" s="57">
        <f t="shared" si="219"/>
        <v>0</v>
      </c>
    </row>
    <row r="843" spans="1:8" ht="12">
      <c r="A843" s="82">
        <v>41508</v>
      </c>
      <c r="B843" s="80" t="s">
        <v>264</v>
      </c>
      <c r="C843" s="56">
        <v>3093405</v>
      </c>
      <c r="D843" s="56">
        <v>13356975</v>
      </c>
      <c r="E843" s="56">
        <v>13609976</v>
      </c>
      <c r="F843" s="27">
        <f t="shared" si="221"/>
        <v>2840404</v>
      </c>
      <c r="G843" s="56">
        <v>0</v>
      </c>
      <c r="H843" s="57">
        <f t="shared" si="219"/>
        <v>2840404</v>
      </c>
    </row>
    <row r="844" spans="1:8" ht="12">
      <c r="A844" s="82">
        <v>42000</v>
      </c>
      <c r="B844" s="79" t="s">
        <v>577</v>
      </c>
      <c r="C844" s="54">
        <f aca="true" t="shared" si="223" ref="C844:H844">SUM(C845:C849)</f>
        <v>42512263</v>
      </c>
      <c r="D844" s="54">
        <f t="shared" si="223"/>
        <v>54811696</v>
      </c>
      <c r="E844" s="54">
        <f t="shared" si="223"/>
        <v>0</v>
      </c>
      <c r="F844" s="54">
        <f t="shared" si="223"/>
        <v>97323959</v>
      </c>
      <c r="G844" s="54">
        <f t="shared" si="223"/>
        <v>0</v>
      </c>
      <c r="H844" s="55">
        <f t="shared" si="223"/>
        <v>97323959</v>
      </c>
    </row>
    <row r="845" spans="1:8" ht="12">
      <c r="A845" s="82">
        <v>42001</v>
      </c>
      <c r="B845" s="80" t="str">
        <f>+B840</f>
        <v>Servicios Personales</v>
      </c>
      <c r="C845" s="56">
        <v>93412</v>
      </c>
      <c r="D845" s="56">
        <v>213961</v>
      </c>
      <c r="E845" s="56">
        <v>0</v>
      </c>
      <c r="F845" s="27">
        <f t="shared" si="221"/>
        <v>307373</v>
      </c>
      <c r="G845" s="56">
        <v>0</v>
      </c>
      <c r="H845" s="57">
        <f t="shared" si="219"/>
        <v>307373</v>
      </c>
    </row>
    <row r="846" spans="1:8" ht="12">
      <c r="A846" s="82">
        <v>42002</v>
      </c>
      <c r="B846" s="80" t="s">
        <v>263</v>
      </c>
      <c r="C846" s="56">
        <v>188423</v>
      </c>
      <c r="D846" s="56">
        <v>247285</v>
      </c>
      <c r="E846" s="56">
        <v>0</v>
      </c>
      <c r="F846" s="27">
        <f t="shared" si="221"/>
        <v>435708</v>
      </c>
      <c r="G846" s="56">
        <v>0</v>
      </c>
      <c r="H846" s="57">
        <f t="shared" si="219"/>
        <v>435708</v>
      </c>
    </row>
    <row r="847" spans="1:8" ht="12">
      <c r="A847" s="82">
        <v>42003</v>
      </c>
      <c r="B847" s="80" t="s">
        <v>446</v>
      </c>
      <c r="C847" s="56">
        <v>436322</v>
      </c>
      <c r="D847" s="56">
        <v>119272</v>
      </c>
      <c r="E847" s="56">
        <v>0</v>
      </c>
      <c r="F847" s="27">
        <f t="shared" si="221"/>
        <v>555594</v>
      </c>
      <c r="G847" s="56">
        <v>0</v>
      </c>
      <c r="H847" s="57">
        <f t="shared" si="219"/>
        <v>555594</v>
      </c>
    </row>
    <row r="848" spans="1:8" ht="12">
      <c r="A848" s="82">
        <v>42004</v>
      </c>
      <c r="B848" s="80" t="s">
        <v>574</v>
      </c>
      <c r="C848" s="56">
        <v>0</v>
      </c>
      <c r="D848" s="56">
        <v>0</v>
      </c>
      <c r="E848" s="56">
        <v>0</v>
      </c>
      <c r="F848" s="27">
        <f t="shared" si="221"/>
        <v>0</v>
      </c>
      <c r="G848" s="56">
        <v>0</v>
      </c>
      <c r="H848" s="57">
        <f t="shared" si="219"/>
        <v>0</v>
      </c>
    </row>
    <row r="849" spans="1:8" ht="12">
      <c r="A849" s="82">
        <v>42008</v>
      </c>
      <c r="B849" s="80" t="s">
        <v>264</v>
      </c>
      <c r="C849" s="56">
        <v>41794106</v>
      </c>
      <c r="D849" s="56">
        <v>54231178</v>
      </c>
      <c r="E849" s="56">
        <v>0</v>
      </c>
      <c r="F849" s="27">
        <f t="shared" si="221"/>
        <v>96025284</v>
      </c>
      <c r="G849" s="56">
        <v>0</v>
      </c>
      <c r="H849" s="57">
        <f t="shared" si="219"/>
        <v>96025284</v>
      </c>
    </row>
    <row r="850" spans="1:8" ht="12">
      <c r="A850" s="82">
        <v>50000</v>
      </c>
      <c r="B850" s="79" t="s">
        <v>133</v>
      </c>
      <c r="C850" s="54">
        <f aca="true" t="shared" si="224" ref="C850:H850">C851+C856+C861</f>
        <v>0</v>
      </c>
      <c r="D850" s="54">
        <f t="shared" si="224"/>
        <v>44275</v>
      </c>
      <c r="E850" s="54">
        <f t="shared" si="224"/>
        <v>44275</v>
      </c>
      <c r="F850" s="54">
        <f t="shared" si="224"/>
        <v>0</v>
      </c>
      <c r="G850" s="54">
        <f t="shared" si="224"/>
        <v>0</v>
      </c>
      <c r="H850" s="55">
        <f t="shared" si="224"/>
        <v>0</v>
      </c>
    </row>
    <row r="851" spans="1:8" ht="12">
      <c r="A851" s="82">
        <v>50500</v>
      </c>
      <c r="B851" s="79" t="s">
        <v>578</v>
      </c>
      <c r="C851" s="54">
        <f aca="true" t="shared" si="225" ref="C851:H851">SUM(C852:C855)</f>
        <v>-3324286</v>
      </c>
      <c r="D851" s="54">
        <f t="shared" si="225"/>
        <v>0</v>
      </c>
      <c r="E851" s="54">
        <f t="shared" si="225"/>
        <v>0</v>
      </c>
      <c r="F851" s="54">
        <f t="shared" si="225"/>
        <v>-3324286</v>
      </c>
      <c r="G851" s="54">
        <f t="shared" si="225"/>
        <v>0</v>
      </c>
      <c r="H851" s="55">
        <f t="shared" si="225"/>
        <v>-3324286</v>
      </c>
    </row>
    <row r="852" spans="1:8" ht="12">
      <c r="A852" s="82">
        <v>50501</v>
      </c>
      <c r="B852" s="80" t="s">
        <v>262</v>
      </c>
      <c r="C852" s="56">
        <v>-17715</v>
      </c>
      <c r="D852" s="56">
        <v>0</v>
      </c>
      <c r="E852" s="56">
        <f>1-1</f>
        <v>0</v>
      </c>
      <c r="F852" s="27">
        <f>C852+D852-E852</f>
        <v>-17715</v>
      </c>
      <c r="G852" s="56"/>
      <c r="H852" s="57">
        <f aca="true" t="shared" si="226" ref="H852:H865">+F852</f>
        <v>-17715</v>
      </c>
    </row>
    <row r="853" spans="1:8" ht="12">
      <c r="A853" s="82">
        <v>50502</v>
      </c>
      <c r="B853" s="80" t="s">
        <v>263</v>
      </c>
      <c r="C853" s="56">
        <v>-88113</v>
      </c>
      <c r="D853" s="56">
        <v>0</v>
      </c>
      <c r="E853" s="56">
        <f>2-2</f>
        <v>0</v>
      </c>
      <c r="F853" s="27">
        <f>C853+D853-E853</f>
        <v>-88113</v>
      </c>
      <c r="G853" s="56"/>
      <c r="H853" s="57">
        <f t="shared" si="226"/>
        <v>-88113</v>
      </c>
    </row>
    <row r="854" spans="1:8" ht="12">
      <c r="A854" s="82">
        <v>50503</v>
      </c>
      <c r="B854" s="80" t="s">
        <v>265</v>
      </c>
      <c r="C854" s="56">
        <v>-264045</v>
      </c>
      <c r="D854" s="56">
        <v>0</v>
      </c>
      <c r="E854" s="56">
        <v>0</v>
      </c>
      <c r="F854" s="27">
        <f>C854+D854-E854</f>
        <v>-264045</v>
      </c>
      <c r="G854" s="56"/>
      <c r="H854" s="57">
        <f t="shared" si="226"/>
        <v>-264045</v>
      </c>
    </row>
    <row r="855" spans="1:8" ht="12">
      <c r="A855" s="82">
        <v>50508</v>
      </c>
      <c r="B855" s="80" t="s">
        <v>264</v>
      </c>
      <c r="C855" s="56">
        <v>-2954413</v>
      </c>
      <c r="D855" s="56">
        <v>0</v>
      </c>
      <c r="E855" s="56">
        <v>0</v>
      </c>
      <c r="F855" s="27">
        <f>C855+D855-E855</f>
        <v>-2954413</v>
      </c>
      <c r="G855" s="56"/>
      <c r="H855" s="57">
        <f t="shared" si="226"/>
        <v>-2954413</v>
      </c>
    </row>
    <row r="856" spans="1:8" ht="12">
      <c r="A856" s="82">
        <v>51000</v>
      </c>
      <c r="B856" s="79" t="s">
        <v>579</v>
      </c>
      <c r="C856" s="54">
        <f aca="true" t="shared" si="227" ref="C856:H856">SUM(C857:C860)</f>
        <v>1712910</v>
      </c>
      <c r="D856" s="54">
        <f t="shared" si="227"/>
        <v>0</v>
      </c>
      <c r="E856" s="54">
        <f t="shared" si="227"/>
        <v>44275</v>
      </c>
      <c r="F856" s="54">
        <f t="shared" si="227"/>
        <v>1668635</v>
      </c>
      <c r="G856" s="54">
        <f t="shared" si="227"/>
        <v>0</v>
      </c>
      <c r="H856" s="55">
        <f t="shared" si="227"/>
        <v>1668635</v>
      </c>
    </row>
    <row r="857" spans="1:8" ht="12">
      <c r="A857" s="82">
        <v>51001</v>
      </c>
      <c r="B857" s="80" t="s">
        <v>262</v>
      </c>
      <c r="C857" s="56">
        <v>0</v>
      </c>
      <c r="D857" s="56">
        <f>1-1</f>
        <v>0</v>
      </c>
      <c r="E857" s="56">
        <v>0</v>
      </c>
      <c r="F857" s="27">
        <f>C857+D857-E857</f>
        <v>0</v>
      </c>
      <c r="G857" s="56"/>
      <c r="H857" s="57">
        <f t="shared" si="226"/>
        <v>0</v>
      </c>
    </row>
    <row r="858" spans="1:8" ht="12">
      <c r="A858" s="82">
        <v>51002</v>
      </c>
      <c r="B858" s="80" t="s">
        <v>263</v>
      </c>
      <c r="C858" s="56">
        <v>44275</v>
      </c>
      <c r="D858" s="56">
        <f>2-2</f>
        <v>0</v>
      </c>
      <c r="E858" s="56">
        <v>44275</v>
      </c>
      <c r="F858" s="27">
        <f t="shared" si="221"/>
        <v>0</v>
      </c>
      <c r="G858" s="56"/>
      <c r="H858" s="57">
        <f t="shared" si="226"/>
        <v>0</v>
      </c>
    </row>
    <row r="859" spans="1:8" ht="12">
      <c r="A859" s="82">
        <v>51003</v>
      </c>
      <c r="B859" s="80" t="s">
        <v>265</v>
      </c>
      <c r="C859" s="56">
        <v>0</v>
      </c>
      <c r="D859" s="56">
        <v>0</v>
      </c>
      <c r="E859" s="56">
        <v>0</v>
      </c>
      <c r="F859" s="27">
        <f t="shared" si="221"/>
        <v>0</v>
      </c>
      <c r="G859" s="56"/>
      <c r="H859" s="57">
        <f t="shared" si="226"/>
        <v>0</v>
      </c>
    </row>
    <row r="860" spans="1:8" ht="12">
      <c r="A860" s="82">
        <v>51008</v>
      </c>
      <c r="B860" s="80" t="s">
        <v>580</v>
      </c>
      <c r="C860" s="56">
        <v>1668635</v>
      </c>
      <c r="D860" s="56">
        <v>0</v>
      </c>
      <c r="E860" s="56">
        <v>0</v>
      </c>
      <c r="F860" s="27">
        <f t="shared" si="221"/>
        <v>1668635</v>
      </c>
      <c r="G860" s="56"/>
      <c r="H860" s="57">
        <f t="shared" si="226"/>
        <v>1668635</v>
      </c>
    </row>
    <row r="861" spans="1:8" ht="12">
      <c r="A861" s="82">
        <v>51500</v>
      </c>
      <c r="B861" s="79" t="s">
        <v>581</v>
      </c>
      <c r="C861" s="54">
        <f aca="true" t="shared" si="228" ref="C861:H861">SUM(C862:C865)</f>
        <v>1611376</v>
      </c>
      <c r="D861" s="54">
        <f t="shared" si="228"/>
        <v>44275</v>
      </c>
      <c r="E861" s="54">
        <f t="shared" si="228"/>
        <v>0</v>
      </c>
      <c r="F861" s="54">
        <f t="shared" si="228"/>
        <v>1655651</v>
      </c>
      <c r="G861" s="54">
        <f t="shared" si="228"/>
        <v>0</v>
      </c>
      <c r="H861" s="55">
        <f t="shared" si="228"/>
        <v>1655651</v>
      </c>
    </row>
    <row r="862" spans="1:8" ht="12">
      <c r="A862" s="82">
        <v>51501</v>
      </c>
      <c r="B862" s="80" t="s">
        <v>262</v>
      </c>
      <c r="C862" s="56">
        <v>17715</v>
      </c>
      <c r="D862" s="56">
        <v>0</v>
      </c>
      <c r="E862" s="56">
        <v>0</v>
      </c>
      <c r="F862" s="27">
        <f t="shared" si="221"/>
        <v>17715</v>
      </c>
      <c r="G862" s="56"/>
      <c r="H862" s="57">
        <f t="shared" si="226"/>
        <v>17715</v>
      </c>
    </row>
    <row r="863" spans="1:8" ht="12">
      <c r="A863" s="82">
        <v>51502</v>
      </c>
      <c r="B863" s="80" t="s">
        <v>263</v>
      </c>
      <c r="C863" s="56">
        <v>43838</v>
      </c>
      <c r="D863" s="56">
        <v>44275</v>
      </c>
      <c r="E863" s="56">
        <v>0</v>
      </c>
      <c r="F863" s="27">
        <f t="shared" si="221"/>
        <v>88113</v>
      </c>
      <c r="G863" s="56"/>
      <c r="H863" s="57">
        <f t="shared" si="226"/>
        <v>88113</v>
      </c>
    </row>
    <row r="864" spans="1:8" ht="12">
      <c r="A864" s="82">
        <v>51503</v>
      </c>
      <c r="B864" s="80" t="s">
        <v>265</v>
      </c>
      <c r="C864" s="56">
        <v>264045</v>
      </c>
      <c r="D864" s="56">
        <v>0</v>
      </c>
      <c r="E864" s="56">
        <v>0</v>
      </c>
      <c r="F864" s="27">
        <f t="shared" si="221"/>
        <v>264045</v>
      </c>
      <c r="G864" s="56"/>
      <c r="H864" s="57">
        <f t="shared" si="226"/>
        <v>264045</v>
      </c>
    </row>
    <row r="865" spans="1:8" ht="12">
      <c r="A865" s="82">
        <v>51508</v>
      </c>
      <c r="B865" s="80" t="s">
        <v>264</v>
      </c>
      <c r="C865" s="56">
        <v>1285778</v>
      </c>
      <c r="D865" s="56">
        <v>0</v>
      </c>
      <c r="E865" s="56">
        <v>0</v>
      </c>
      <c r="F865" s="27">
        <f t="shared" si="221"/>
        <v>1285778</v>
      </c>
      <c r="G865" s="56"/>
      <c r="H865" s="57">
        <f t="shared" si="226"/>
        <v>1285778</v>
      </c>
    </row>
    <row r="866" spans="1:8" ht="22.5">
      <c r="A866" s="82">
        <v>70000</v>
      </c>
      <c r="B866" s="79" t="s">
        <v>582</v>
      </c>
      <c r="C866" s="54">
        <f aca="true" t="shared" si="229" ref="C866:H866">C867</f>
        <v>-407862467</v>
      </c>
      <c r="D866" s="54">
        <f t="shared" si="229"/>
        <v>0</v>
      </c>
      <c r="E866" s="54">
        <f t="shared" si="229"/>
        <v>0</v>
      </c>
      <c r="F866" s="54">
        <f t="shared" si="229"/>
        <v>-407862467</v>
      </c>
      <c r="G866" s="54">
        <f t="shared" si="229"/>
        <v>0</v>
      </c>
      <c r="H866" s="55">
        <f t="shared" si="229"/>
        <v>-407862467</v>
      </c>
    </row>
    <row r="867" spans="1:8" ht="12">
      <c r="A867" s="82">
        <v>70200</v>
      </c>
      <c r="B867" s="79" t="s">
        <v>583</v>
      </c>
      <c r="C867" s="54">
        <f aca="true" t="shared" si="230" ref="C867:H867">SUM(C868)</f>
        <v>-407862467</v>
      </c>
      <c r="D867" s="54">
        <f t="shared" si="230"/>
        <v>0</v>
      </c>
      <c r="E867" s="54">
        <f t="shared" si="230"/>
        <v>0</v>
      </c>
      <c r="F867" s="54">
        <f t="shared" si="230"/>
        <v>-407862467</v>
      </c>
      <c r="G867" s="54">
        <f t="shared" si="230"/>
        <v>0</v>
      </c>
      <c r="H867" s="55">
        <f t="shared" si="230"/>
        <v>-407862467</v>
      </c>
    </row>
    <row r="868" spans="1:8" ht="22.5">
      <c r="A868" s="82">
        <v>70202</v>
      </c>
      <c r="B868" s="80" t="s">
        <v>584</v>
      </c>
      <c r="C868" s="56">
        <v>-407862467</v>
      </c>
      <c r="D868" s="56">
        <v>0</v>
      </c>
      <c r="E868" s="56">
        <v>0</v>
      </c>
      <c r="F868" s="27">
        <f>C868+D868-E868</f>
        <v>-407862467</v>
      </c>
      <c r="G868" s="56">
        <v>0</v>
      </c>
      <c r="H868" s="57">
        <f>+F868</f>
        <v>-407862467</v>
      </c>
    </row>
    <row r="869" spans="1:8" ht="22.5">
      <c r="A869" s="82">
        <v>80000</v>
      </c>
      <c r="B869" s="79" t="s">
        <v>585</v>
      </c>
      <c r="C869" s="54">
        <f aca="true" t="shared" si="231" ref="C869:H869">C870</f>
        <v>257183443</v>
      </c>
      <c r="D869" s="54">
        <f t="shared" si="231"/>
        <v>0</v>
      </c>
      <c r="E869" s="54">
        <f t="shared" si="231"/>
        <v>0</v>
      </c>
      <c r="F869" s="54">
        <f t="shared" si="231"/>
        <v>257183443</v>
      </c>
      <c r="G869" s="54">
        <f t="shared" si="231"/>
        <v>0</v>
      </c>
      <c r="H869" s="55">
        <f t="shared" si="231"/>
        <v>257183443</v>
      </c>
    </row>
    <row r="870" spans="1:8" ht="12">
      <c r="A870" s="82">
        <v>80200</v>
      </c>
      <c r="B870" s="79" t="s">
        <v>583</v>
      </c>
      <c r="C870" s="54">
        <f aca="true" t="shared" si="232" ref="C870:H870">SUM(C871)</f>
        <v>257183443</v>
      </c>
      <c r="D870" s="54">
        <f t="shared" si="232"/>
        <v>0</v>
      </c>
      <c r="E870" s="54">
        <f t="shared" si="232"/>
        <v>0</v>
      </c>
      <c r="F870" s="54">
        <f t="shared" si="232"/>
        <v>257183443</v>
      </c>
      <c r="G870" s="54">
        <f t="shared" si="232"/>
        <v>0</v>
      </c>
      <c r="H870" s="55">
        <f t="shared" si="232"/>
        <v>257183443</v>
      </c>
    </row>
    <row r="871" spans="1:8" ht="22.5">
      <c r="A871" s="82">
        <v>80202</v>
      </c>
      <c r="B871" s="80" t="s">
        <v>584</v>
      </c>
      <c r="C871" s="56">
        <v>257183443</v>
      </c>
      <c r="D871" s="56">
        <v>0</v>
      </c>
      <c r="E871" s="56">
        <v>0</v>
      </c>
      <c r="F871" s="27">
        <f t="shared" si="221"/>
        <v>257183443</v>
      </c>
      <c r="G871" s="56">
        <v>0</v>
      </c>
      <c r="H871" s="57">
        <f>+F871</f>
        <v>257183443</v>
      </c>
    </row>
    <row r="872" spans="1:8" ht="22.5">
      <c r="A872" s="82">
        <v>90000</v>
      </c>
      <c r="B872" s="79" t="s">
        <v>582</v>
      </c>
      <c r="C872" s="54">
        <f aca="true" t="shared" si="233" ref="C872:H872">C873</f>
        <v>150679024</v>
      </c>
      <c r="D872" s="54">
        <f t="shared" si="233"/>
        <v>0</v>
      </c>
      <c r="E872" s="54">
        <f t="shared" si="233"/>
        <v>0</v>
      </c>
      <c r="F872" s="54">
        <f t="shared" si="233"/>
        <v>150679024</v>
      </c>
      <c r="G872" s="54">
        <f t="shared" si="233"/>
        <v>0</v>
      </c>
      <c r="H872" s="55">
        <f t="shared" si="233"/>
        <v>150679024</v>
      </c>
    </row>
    <row r="873" spans="1:8" ht="12">
      <c r="A873" s="82">
        <v>90200</v>
      </c>
      <c r="B873" s="79" t="s">
        <v>583</v>
      </c>
      <c r="C873" s="54">
        <f aca="true" t="shared" si="234" ref="C873:H873">SUM(C874)</f>
        <v>150679024</v>
      </c>
      <c r="D873" s="54">
        <f t="shared" si="234"/>
        <v>0</v>
      </c>
      <c r="E873" s="54">
        <f t="shared" si="234"/>
        <v>0</v>
      </c>
      <c r="F873" s="54">
        <f t="shared" si="234"/>
        <v>150679024</v>
      </c>
      <c r="G873" s="54">
        <f t="shared" si="234"/>
        <v>0</v>
      </c>
      <c r="H873" s="55">
        <f t="shared" si="234"/>
        <v>150679024</v>
      </c>
    </row>
    <row r="874" spans="1:8" ht="23.25" thickBot="1">
      <c r="A874" s="85">
        <v>90202</v>
      </c>
      <c r="B874" s="86" t="s">
        <v>584</v>
      </c>
      <c r="C874" s="87">
        <v>150679024</v>
      </c>
      <c r="D874" s="88">
        <v>0</v>
      </c>
      <c r="E874" s="88">
        <v>0</v>
      </c>
      <c r="F874" s="29">
        <f t="shared" si="221"/>
        <v>150679024</v>
      </c>
      <c r="G874" s="88">
        <v>0</v>
      </c>
      <c r="H874" s="89">
        <f>+F874</f>
        <v>150679024</v>
      </c>
    </row>
    <row r="875" spans="1:8" ht="18">
      <c r="A875" s="30"/>
      <c r="B875" s="30"/>
      <c r="C875" s="31"/>
      <c r="D875" s="32">
        <f>SUM(D11:D874)</f>
        <v>63069315616</v>
      </c>
      <c r="E875" s="32">
        <f>SUM(E11:E874)</f>
        <v>63069358116</v>
      </c>
      <c r="F875" s="33"/>
      <c r="G875" s="34"/>
      <c r="H875" s="35"/>
    </row>
  </sheetData>
  <sheetProtection password="8D25" sheet="1" formatCells="0" formatColumns="0" formatRows="0" insertColumns="0" insertRows="0" insertHyperlinks="0" deleteColumns="0" deleteRows="0" sort="0" autoFilter="0" pivotTables="0"/>
  <mergeCells count="6">
    <mergeCell ref="G9:G10"/>
    <mergeCell ref="H9:H10"/>
    <mergeCell ref="C9:C10"/>
    <mergeCell ref="D9:D10"/>
    <mergeCell ref="E9:E10"/>
    <mergeCell ref="F9:F1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731"/>
  <sheetViews>
    <sheetView workbookViewId="0" topLeftCell="A1">
      <selection activeCell="B18" sqref="B18"/>
    </sheetView>
  </sheetViews>
  <sheetFormatPr defaultColWidth="11.421875" defaultRowHeight="12.75"/>
  <cols>
    <col min="1" max="1" width="15.00390625" style="6" customWidth="1"/>
    <col min="2" max="2" width="42.28125" style="26" customWidth="1"/>
    <col min="3" max="3" width="14.421875" style="197" customWidth="1"/>
    <col min="4" max="4" width="36.57421875" style="26" customWidth="1"/>
    <col min="5" max="6" width="14.00390625" style="6" customWidth="1"/>
    <col min="7" max="16384" width="11.421875" style="6" customWidth="1"/>
  </cols>
  <sheetData>
    <row r="1" spans="1:6" ht="12">
      <c r="A1" s="95" t="s">
        <v>2756</v>
      </c>
      <c r="B1" s="26" t="s">
        <v>587</v>
      </c>
      <c r="C1" s="217" t="s">
        <v>588</v>
      </c>
      <c r="D1" s="217"/>
      <c r="E1" s="217"/>
      <c r="F1" s="217"/>
    </row>
    <row r="2" spans="1:6" ht="12">
      <c r="A2" s="95" t="s">
        <v>2759</v>
      </c>
      <c r="B2" s="26" t="s">
        <v>589</v>
      </c>
      <c r="F2" s="106" t="s">
        <v>2738</v>
      </c>
    </row>
    <row r="3" spans="1:2" ht="12">
      <c r="A3" s="95" t="s">
        <v>2761</v>
      </c>
      <c r="B3" s="26" t="s">
        <v>590</v>
      </c>
    </row>
    <row r="4" spans="1:2" ht="12">
      <c r="A4" s="95" t="s">
        <v>2763</v>
      </c>
      <c r="B4" s="26">
        <v>11300000</v>
      </c>
    </row>
    <row r="5" spans="1:2" ht="12">
      <c r="A5" s="95" t="s">
        <v>2765</v>
      </c>
      <c r="B5" s="161">
        <v>38898</v>
      </c>
    </row>
    <row r="7" spans="4:6" ht="12.75" thickBot="1">
      <c r="D7" s="162" t="s">
        <v>2768</v>
      </c>
      <c r="E7" s="163"/>
      <c r="F7" s="163"/>
    </row>
    <row r="8" spans="1:6" ht="12">
      <c r="A8" s="158" t="s">
        <v>2769</v>
      </c>
      <c r="B8" s="159"/>
      <c r="C8" s="218" t="s">
        <v>591</v>
      </c>
      <c r="D8" s="218" t="s">
        <v>592</v>
      </c>
      <c r="E8" s="218" t="s">
        <v>593</v>
      </c>
      <c r="F8" s="220" t="s">
        <v>594</v>
      </c>
    </row>
    <row r="9" spans="1:6" ht="36.75" thickBot="1">
      <c r="A9" s="172" t="s">
        <v>595</v>
      </c>
      <c r="B9" s="173" t="s">
        <v>596</v>
      </c>
      <c r="C9" s="219"/>
      <c r="D9" s="219"/>
      <c r="E9" s="219"/>
      <c r="F9" s="221"/>
    </row>
    <row r="10" spans="1:6" ht="12">
      <c r="A10" s="183">
        <v>120101</v>
      </c>
      <c r="B10" s="184" t="s">
        <v>597</v>
      </c>
      <c r="C10" s="198">
        <v>11500000</v>
      </c>
      <c r="D10" s="186" t="s">
        <v>598</v>
      </c>
      <c r="E10" s="187">
        <v>27464375</v>
      </c>
      <c r="F10" s="188">
        <v>0</v>
      </c>
    </row>
    <row r="11" spans="1:6" ht="24">
      <c r="A11" s="189">
        <v>140414</v>
      </c>
      <c r="B11" s="147" t="s">
        <v>599</v>
      </c>
      <c r="C11" s="199">
        <v>10500000</v>
      </c>
      <c r="D11" s="147" t="s">
        <v>600</v>
      </c>
      <c r="E11" s="121">
        <v>8273</v>
      </c>
      <c r="F11" s="120">
        <v>0</v>
      </c>
    </row>
    <row r="12" spans="1:6" ht="24">
      <c r="A12" s="189">
        <v>140414</v>
      </c>
      <c r="B12" s="147" t="s">
        <v>599</v>
      </c>
      <c r="C12" s="199">
        <v>10600000</v>
      </c>
      <c r="D12" s="147" t="s">
        <v>601</v>
      </c>
      <c r="E12" s="121">
        <v>5</v>
      </c>
      <c r="F12" s="120">
        <v>0</v>
      </c>
    </row>
    <row r="13" spans="1:6" ht="24">
      <c r="A13" s="189">
        <v>140414</v>
      </c>
      <c r="B13" s="147" t="s">
        <v>599</v>
      </c>
      <c r="C13" s="199">
        <v>10900000</v>
      </c>
      <c r="D13" s="147" t="s">
        <v>602</v>
      </c>
      <c r="E13" s="121">
        <v>4917</v>
      </c>
      <c r="F13" s="120">
        <v>0</v>
      </c>
    </row>
    <row r="14" spans="1:6" ht="24">
      <c r="A14" s="189">
        <v>140414</v>
      </c>
      <c r="B14" s="147" t="s">
        <v>599</v>
      </c>
      <c r="C14" s="199">
        <v>11100000</v>
      </c>
      <c r="D14" s="147" t="s">
        <v>603</v>
      </c>
      <c r="E14" s="121">
        <v>187726</v>
      </c>
      <c r="F14" s="120">
        <v>0</v>
      </c>
    </row>
    <row r="15" spans="1:6" ht="24">
      <c r="A15" s="189">
        <v>140414</v>
      </c>
      <c r="B15" s="147" t="s">
        <v>599</v>
      </c>
      <c r="C15" s="199">
        <v>12200000</v>
      </c>
      <c r="D15" s="147" t="s">
        <v>604</v>
      </c>
      <c r="E15" s="121">
        <v>1294</v>
      </c>
      <c r="F15" s="120">
        <v>0</v>
      </c>
    </row>
    <row r="16" spans="1:6" ht="24">
      <c r="A16" s="189">
        <v>140414</v>
      </c>
      <c r="B16" s="147" t="s">
        <v>599</v>
      </c>
      <c r="C16" s="199">
        <v>12300000</v>
      </c>
      <c r="D16" s="147" t="s">
        <v>605</v>
      </c>
      <c r="E16" s="121">
        <v>17917</v>
      </c>
      <c r="F16" s="120">
        <v>0</v>
      </c>
    </row>
    <row r="17" spans="1:6" ht="24">
      <c r="A17" s="189">
        <v>140414</v>
      </c>
      <c r="B17" s="147" t="s">
        <v>599</v>
      </c>
      <c r="C17" s="199">
        <v>12700000</v>
      </c>
      <c r="D17" s="147" t="s">
        <v>606</v>
      </c>
      <c r="E17" s="121">
        <v>1133</v>
      </c>
      <c r="F17" s="120">
        <v>0</v>
      </c>
    </row>
    <row r="18" spans="1:6" ht="24">
      <c r="A18" s="189">
        <v>140414</v>
      </c>
      <c r="B18" s="147" t="s">
        <v>599</v>
      </c>
      <c r="C18" s="199">
        <v>13400000</v>
      </c>
      <c r="D18" s="147" t="s">
        <v>607</v>
      </c>
      <c r="E18" s="121">
        <v>5282</v>
      </c>
      <c r="F18" s="120">
        <v>0</v>
      </c>
    </row>
    <row r="19" spans="1:6" ht="24">
      <c r="A19" s="189">
        <v>140414</v>
      </c>
      <c r="B19" s="147" t="s">
        <v>599</v>
      </c>
      <c r="C19" s="199">
        <v>14000000</v>
      </c>
      <c r="D19" s="147" t="s">
        <v>608</v>
      </c>
      <c r="E19" s="121">
        <v>36380</v>
      </c>
      <c r="F19" s="120">
        <v>0</v>
      </c>
    </row>
    <row r="20" spans="1:6" ht="24">
      <c r="A20" s="189">
        <v>140414</v>
      </c>
      <c r="B20" s="147" t="s">
        <v>599</v>
      </c>
      <c r="C20" s="199">
        <v>80200000</v>
      </c>
      <c r="D20" s="147" t="s">
        <v>609</v>
      </c>
      <c r="E20" s="121">
        <v>167</v>
      </c>
      <c r="F20" s="120">
        <v>0</v>
      </c>
    </row>
    <row r="21" spans="1:6" ht="24">
      <c r="A21" s="189">
        <v>140414</v>
      </c>
      <c r="B21" s="147" t="s">
        <v>599</v>
      </c>
      <c r="C21" s="199">
        <v>80200000</v>
      </c>
      <c r="D21" s="147" t="s">
        <v>610</v>
      </c>
      <c r="E21" s="121">
        <v>144</v>
      </c>
      <c r="F21" s="120">
        <v>0</v>
      </c>
    </row>
    <row r="22" spans="1:6" ht="24">
      <c r="A22" s="189">
        <v>140414</v>
      </c>
      <c r="B22" s="147" t="s">
        <v>599</v>
      </c>
      <c r="C22" s="199">
        <v>80200000</v>
      </c>
      <c r="D22" s="147" t="s">
        <v>611</v>
      </c>
      <c r="E22" s="121">
        <v>178</v>
      </c>
      <c r="F22" s="120">
        <v>0</v>
      </c>
    </row>
    <row r="23" spans="1:6" ht="24">
      <c r="A23" s="189">
        <v>140414</v>
      </c>
      <c r="B23" s="147" t="s">
        <v>599</v>
      </c>
      <c r="C23" s="199">
        <v>80200000</v>
      </c>
      <c r="D23" s="147" t="s">
        <v>612</v>
      </c>
      <c r="E23" s="121">
        <v>235</v>
      </c>
      <c r="F23" s="120">
        <v>0</v>
      </c>
    </row>
    <row r="24" spans="1:6" ht="24">
      <c r="A24" s="189">
        <v>140414</v>
      </c>
      <c r="B24" s="147" t="s">
        <v>599</v>
      </c>
      <c r="C24" s="199">
        <v>80200000</v>
      </c>
      <c r="D24" s="147" t="s">
        <v>613</v>
      </c>
      <c r="E24" s="121">
        <v>247</v>
      </c>
      <c r="F24" s="120">
        <v>0</v>
      </c>
    </row>
    <row r="25" spans="1:6" ht="24">
      <c r="A25" s="189">
        <v>140414</v>
      </c>
      <c r="B25" s="147" t="s">
        <v>599</v>
      </c>
      <c r="C25" s="199">
        <v>88800000</v>
      </c>
      <c r="D25" s="147" t="s">
        <v>614</v>
      </c>
      <c r="E25" s="121">
        <v>64</v>
      </c>
      <c r="F25" s="120">
        <v>0</v>
      </c>
    </row>
    <row r="26" spans="1:6" ht="24">
      <c r="A26" s="189">
        <v>140414</v>
      </c>
      <c r="B26" s="147" t="s">
        <v>599</v>
      </c>
      <c r="C26" s="199">
        <v>96300000</v>
      </c>
      <c r="D26" s="147" t="s">
        <v>615</v>
      </c>
      <c r="E26" s="121">
        <v>25346</v>
      </c>
      <c r="F26" s="120">
        <v>0</v>
      </c>
    </row>
    <row r="27" spans="1:6" ht="24">
      <c r="A27" s="189">
        <v>140414</v>
      </c>
      <c r="B27" s="147" t="s">
        <v>599</v>
      </c>
      <c r="C27" s="199">
        <v>96500000</v>
      </c>
      <c r="D27" s="147" t="s">
        <v>616</v>
      </c>
      <c r="E27" s="121">
        <v>339</v>
      </c>
      <c r="F27" s="120">
        <v>0</v>
      </c>
    </row>
    <row r="28" spans="1:6" ht="24">
      <c r="A28" s="189">
        <v>140414</v>
      </c>
      <c r="B28" s="147" t="s">
        <v>599</v>
      </c>
      <c r="C28" s="199">
        <v>96500000</v>
      </c>
      <c r="D28" s="147" t="s">
        <v>616</v>
      </c>
      <c r="E28" s="121">
        <v>395</v>
      </c>
      <c r="F28" s="120">
        <v>0</v>
      </c>
    </row>
    <row r="29" spans="1:6" ht="24">
      <c r="A29" s="189">
        <v>140414</v>
      </c>
      <c r="B29" s="147" t="s">
        <v>599</v>
      </c>
      <c r="C29" s="200">
        <v>110505000</v>
      </c>
      <c r="D29" s="147" t="s">
        <v>617</v>
      </c>
      <c r="E29" s="121">
        <v>679</v>
      </c>
      <c r="F29" s="120">
        <v>0</v>
      </c>
    </row>
    <row r="30" spans="1:6" ht="24">
      <c r="A30" s="189">
        <v>140414</v>
      </c>
      <c r="B30" s="147" t="s">
        <v>599</v>
      </c>
      <c r="C30" s="199">
        <v>111717000</v>
      </c>
      <c r="D30" s="147" t="s">
        <v>618</v>
      </c>
      <c r="E30" s="121">
        <v>180</v>
      </c>
      <c r="F30" s="120">
        <v>0</v>
      </c>
    </row>
    <row r="31" spans="1:6" ht="24">
      <c r="A31" s="189">
        <v>140414</v>
      </c>
      <c r="B31" s="147" t="s">
        <v>599</v>
      </c>
      <c r="C31" s="199">
        <v>111919000</v>
      </c>
      <c r="D31" s="147" t="s">
        <v>619</v>
      </c>
      <c r="E31" s="121">
        <v>1847</v>
      </c>
      <c r="F31" s="120">
        <v>0</v>
      </c>
    </row>
    <row r="32" spans="1:6" ht="24">
      <c r="A32" s="189">
        <v>140414</v>
      </c>
      <c r="B32" s="147" t="s">
        <v>599</v>
      </c>
      <c r="C32" s="199">
        <v>114141000</v>
      </c>
      <c r="D32" s="147" t="s">
        <v>620</v>
      </c>
      <c r="E32" s="121">
        <v>955</v>
      </c>
      <c r="F32" s="120">
        <v>0</v>
      </c>
    </row>
    <row r="33" spans="1:6" ht="24">
      <c r="A33" s="189">
        <v>140414</v>
      </c>
      <c r="B33" s="147" t="s">
        <v>599</v>
      </c>
      <c r="C33" s="199">
        <v>115050000</v>
      </c>
      <c r="D33" s="147" t="s">
        <v>621</v>
      </c>
      <c r="E33" s="121">
        <v>54031</v>
      </c>
      <c r="F33" s="120">
        <v>0</v>
      </c>
    </row>
    <row r="34" spans="1:6" ht="24">
      <c r="A34" s="189">
        <v>140414</v>
      </c>
      <c r="B34" s="147" t="s">
        <v>599</v>
      </c>
      <c r="C34" s="199">
        <v>115252000</v>
      </c>
      <c r="D34" s="147" t="s">
        <v>622</v>
      </c>
      <c r="E34" s="121">
        <v>355000</v>
      </c>
      <c r="F34" s="120">
        <v>0</v>
      </c>
    </row>
    <row r="35" spans="1:6" ht="24">
      <c r="A35" s="189">
        <v>140414</v>
      </c>
      <c r="B35" s="147" t="s">
        <v>599</v>
      </c>
      <c r="C35" s="199">
        <v>115454000</v>
      </c>
      <c r="D35" s="147" t="s">
        <v>623</v>
      </c>
      <c r="E35" s="121">
        <v>1434</v>
      </c>
      <c r="F35" s="120">
        <v>0</v>
      </c>
    </row>
    <row r="36" spans="1:6" ht="24">
      <c r="A36" s="189">
        <v>140414</v>
      </c>
      <c r="B36" s="147" t="s">
        <v>599</v>
      </c>
      <c r="C36" s="199">
        <v>116666000</v>
      </c>
      <c r="D36" s="147" t="s">
        <v>624</v>
      </c>
      <c r="E36" s="121">
        <v>441</v>
      </c>
      <c r="F36" s="120">
        <v>0</v>
      </c>
    </row>
    <row r="37" spans="1:6" ht="24">
      <c r="A37" s="189">
        <v>140414</v>
      </c>
      <c r="B37" s="147" t="s">
        <v>599</v>
      </c>
      <c r="C37" s="199">
        <v>116868000</v>
      </c>
      <c r="D37" s="147" t="s">
        <v>625</v>
      </c>
      <c r="E37" s="121">
        <v>1850</v>
      </c>
      <c r="F37" s="120">
        <v>0</v>
      </c>
    </row>
    <row r="38" spans="1:6" ht="24">
      <c r="A38" s="189">
        <v>140414</v>
      </c>
      <c r="B38" s="147" t="s">
        <v>599</v>
      </c>
      <c r="C38" s="199">
        <v>118686000</v>
      </c>
      <c r="D38" s="147" t="s">
        <v>626</v>
      </c>
      <c r="E38" s="121">
        <v>49</v>
      </c>
      <c r="F38" s="120">
        <v>0</v>
      </c>
    </row>
    <row r="39" spans="1:6" ht="24">
      <c r="A39" s="189">
        <v>140414</v>
      </c>
      <c r="B39" s="147" t="s">
        <v>599</v>
      </c>
      <c r="C39" s="199">
        <v>119494000</v>
      </c>
      <c r="D39" s="147" t="s">
        <v>627</v>
      </c>
      <c r="E39" s="121">
        <v>54</v>
      </c>
      <c r="F39" s="120">
        <v>0</v>
      </c>
    </row>
    <row r="40" spans="1:6" ht="24">
      <c r="A40" s="189">
        <v>140414</v>
      </c>
      <c r="B40" s="147" t="s">
        <v>599</v>
      </c>
      <c r="C40" s="199">
        <v>119797000</v>
      </c>
      <c r="D40" s="147" t="s">
        <v>628</v>
      </c>
      <c r="E40" s="121">
        <v>13087</v>
      </c>
      <c r="F40" s="120">
        <v>0</v>
      </c>
    </row>
    <row r="41" spans="1:6" ht="24">
      <c r="A41" s="189">
        <v>140414</v>
      </c>
      <c r="B41" s="147" t="s">
        <v>599</v>
      </c>
      <c r="C41" s="199">
        <v>210013600</v>
      </c>
      <c r="D41" s="147" t="s">
        <v>629</v>
      </c>
      <c r="E41" s="121">
        <v>229</v>
      </c>
      <c r="F41" s="120">
        <v>0</v>
      </c>
    </row>
    <row r="42" spans="1:6" ht="24">
      <c r="A42" s="189">
        <v>140414</v>
      </c>
      <c r="B42" s="147" t="s">
        <v>599</v>
      </c>
      <c r="C42" s="199">
        <v>210015600</v>
      </c>
      <c r="D42" s="147" t="s">
        <v>630</v>
      </c>
      <c r="E42" s="121">
        <v>25</v>
      </c>
      <c r="F42" s="120">
        <v>0</v>
      </c>
    </row>
    <row r="43" spans="1:6" ht="24">
      <c r="A43" s="189">
        <v>140414</v>
      </c>
      <c r="B43" s="147" t="s">
        <v>599</v>
      </c>
      <c r="C43" s="199">
        <v>210025200</v>
      </c>
      <c r="D43" s="147" t="s">
        <v>631</v>
      </c>
      <c r="E43" s="121">
        <v>530</v>
      </c>
      <c r="F43" s="120">
        <v>0</v>
      </c>
    </row>
    <row r="44" spans="1:6" ht="24">
      <c r="A44" s="189">
        <v>140414</v>
      </c>
      <c r="B44" s="147" t="s">
        <v>599</v>
      </c>
      <c r="C44" s="199">
        <v>210108001</v>
      </c>
      <c r="D44" s="147" t="s">
        <v>632</v>
      </c>
      <c r="E44" s="121">
        <v>576</v>
      </c>
      <c r="F44" s="120">
        <v>0</v>
      </c>
    </row>
    <row r="45" spans="1:6" ht="24">
      <c r="A45" s="189">
        <v>140414</v>
      </c>
      <c r="B45" s="147" t="s">
        <v>599</v>
      </c>
      <c r="C45" s="199">
        <v>210111001</v>
      </c>
      <c r="D45" s="147" t="s">
        <v>633</v>
      </c>
      <c r="E45" s="121">
        <v>22021</v>
      </c>
      <c r="F45" s="120">
        <v>0</v>
      </c>
    </row>
    <row r="46" spans="1:6" ht="24">
      <c r="A46" s="189">
        <v>140414</v>
      </c>
      <c r="B46" s="147" t="s">
        <v>599</v>
      </c>
      <c r="C46" s="199">
        <v>210115001</v>
      </c>
      <c r="D46" s="147" t="s">
        <v>634</v>
      </c>
      <c r="E46" s="121">
        <v>186</v>
      </c>
      <c r="F46" s="120">
        <v>0</v>
      </c>
    </row>
    <row r="47" spans="1:6" ht="24">
      <c r="A47" s="189">
        <v>140414</v>
      </c>
      <c r="B47" s="147" t="s">
        <v>599</v>
      </c>
      <c r="C47" s="199">
        <v>210115401</v>
      </c>
      <c r="D47" s="147" t="s">
        <v>635</v>
      </c>
      <c r="E47" s="121">
        <v>91</v>
      </c>
      <c r="F47" s="120">
        <v>0</v>
      </c>
    </row>
    <row r="48" spans="1:6" ht="24">
      <c r="A48" s="189">
        <v>140414</v>
      </c>
      <c r="B48" s="147" t="s">
        <v>599</v>
      </c>
      <c r="C48" s="199">
        <v>210118001</v>
      </c>
      <c r="D48" s="147" t="s">
        <v>636</v>
      </c>
      <c r="E48" s="121">
        <v>56</v>
      </c>
      <c r="F48" s="120">
        <v>0</v>
      </c>
    </row>
    <row r="49" spans="1:6" ht="24">
      <c r="A49" s="189">
        <v>140414</v>
      </c>
      <c r="B49" s="147" t="s">
        <v>599</v>
      </c>
      <c r="C49" s="199">
        <v>210119001</v>
      </c>
      <c r="D49" s="147" t="s">
        <v>637</v>
      </c>
      <c r="E49" s="121">
        <v>135</v>
      </c>
      <c r="F49" s="120">
        <v>0</v>
      </c>
    </row>
    <row r="50" spans="1:6" ht="24">
      <c r="A50" s="189">
        <v>140414</v>
      </c>
      <c r="B50" s="147" t="s">
        <v>599</v>
      </c>
      <c r="C50" s="199">
        <v>210123001</v>
      </c>
      <c r="D50" s="147" t="s">
        <v>638</v>
      </c>
      <c r="E50" s="121">
        <v>245</v>
      </c>
      <c r="F50" s="120">
        <v>0</v>
      </c>
    </row>
    <row r="51" spans="1:6" ht="24">
      <c r="A51" s="189">
        <v>140414</v>
      </c>
      <c r="B51" s="147" t="s">
        <v>599</v>
      </c>
      <c r="C51" s="199">
        <v>210125001</v>
      </c>
      <c r="D51" s="147" t="s">
        <v>639</v>
      </c>
      <c r="E51" s="121">
        <v>242</v>
      </c>
      <c r="F51" s="120">
        <v>0</v>
      </c>
    </row>
    <row r="52" spans="1:6" ht="24">
      <c r="A52" s="189">
        <v>140414</v>
      </c>
      <c r="B52" s="147" t="s">
        <v>599</v>
      </c>
      <c r="C52" s="199">
        <v>210127001</v>
      </c>
      <c r="D52" s="147" t="s">
        <v>640</v>
      </c>
      <c r="E52" s="121">
        <v>19</v>
      </c>
      <c r="F52" s="120">
        <v>0</v>
      </c>
    </row>
    <row r="53" spans="1:6" ht="24">
      <c r="A53" s="189">
        <v>140414</v>
      </c>
      <c r="B53" s="147" t="s">
        <v>599</v>
      </c>
      <c r="C53" s="199">
        <v>210141001</v>
      </c>
      <c r="D53" s="147" t="s">
        <v>641</v>
      </c>
      <c r="E53" s="121">
        <v>593</v>
      </c>
      <c r="F53" s="120">
        <v>0</v>
      </c>
    </row>
    <row r="54" spans="1:6" ht="24">
      <c r="A54" s="189">
        <v>140414</v>
      </c>
      <c r="B54" s="147" t="s">
        <v>599</v>
      </c>
      <c r="C54" s="199">
        <v>210141801</v>
      </c>
      <c r="D54" s="147" t="s">
        <v>642</v>
      </c>
      <c r="E54" s="121">
        <v>101</v>
      </c>
      <c r="F54" s="120">
        <v>0</v>
      </c>
    </row>
    <row r="55" spans="1:6" ht="24">
      <c r="A55" s="189">
        <v>140414</v>
      </c>
      <c r="B55" s="147" t="s">
        <v>599</v>
      </c>
      <c r="C55" s="199">
        <v>210147001</v>
      </c>
      <c r="D55" s="147" t="s">
        <v>643</v>
      </c>
      <c r="E55" s="121">
        <v>42386</v>
      </c>
      <c r="F55" s="120">
        <v>0</v>
      </c>
    </row>
    <row r="56" spans="1:6" ht="24">
      <c r="A56" s="189">
        <v>140414</v>
      </c>
      <c r="B56" s="147" t="s">
        <v>599</v>
      </c>
      <c r="C56" s="199">
        <v>210150001</v>
      </c>
      <c r="D56" s="147" t="s">
        <v>644</v>
      </c>
      <c r="E56" s="121">
        <v>846</v>
      </c>
      <c r="F56" s="120">
        <v>0</v>
      </c>
    </row>
    <row r="57" spans="1:6" ht="24">
      <c r="A57" s="189">
        <v>140414</v>
      </c>
      <c r="B57" s="147" t="s">
        <v>599</v>
      </c>
      <c r="C57" s="199">
        <v>210163001</v>
      </c>
      <c r="D57" s="147" t="s">
        <v>645</v>
      </c>
      <c r="E57" s="121">
        <v>102</v>
      </c>
      <c r="F57" s="120">
        <v>0</v>
      </c>
    </row>
    <row r="58" spans="1:6" ht="24">
      <c r="A58" s="189">
        <v>140414</v>
      </c>
      <c r="B58" s="147" t="s">
        <v>599</v>
      </c>
      <c r="C58" s="199">
        <v>210166001</v>
      </c>
      <c r="D58" s="147" t="s">
        <v>646</v>
      </c>
      <c r="E58" s="121">
        <v>854</v>
      </c>
      <c r="F58" s="120">
        <v>0</v>
      </c>
    </row>
    <row r="59" spans="1:6" ht="24">
      <c r="A59" s="189">
        <v>140414</v>
      </c>
      <c r="B59" s="147" t="s">
        <v>599</v>
      </c>
      <c r="C59" s="199">
        <v>210168101</v>
      </c>
      <c r="D59" s="147" t="s">
        <v>647</v>
      </c>
      <c r="E59" s="121">
        <v>27</v>
      </c>
      <c r="F59" s="120">
        <v>0</v>
      </c>
    </row>
    <row r="60" spans="1:6" ht="24">
      <c r="A60" s="189">
        <v>140414</v>
      </c>
      <c r="B60" s="147" t="s">
        <v>599</v>
      </c>
      <c r="C60" s="199">
        <v>210170001</v>
      </c>
      <c r="D60" s="147" t="s">
        <v>648</v>
      </c>
      <c r="E60" s="121">
        <v>2119</v>
      </c>
      <c r="F60" s="120">
        <v>0</v>
      </c>
    </row>
    <row r="61" spans="1:6" ht="24">
      <c r="A61" s="189">
        <v>140414</v>
      </c>
      <c r="B61" s="147" t="s">
        <v>599</v>
      </c>
      <c r="C61" s="199">
        <v>210185001</v>
      </c>
      <c r="D61" s="147" t="s">
        <v>649</v>
      </c>
      <c r="E61" s="121">
        <v>27</v>
      </c>
      <c r="F61" s="120">
        <v>0</v>
      </c>
    </row>
    <row r="62" spans="1:6" ht="24">
      <c r="A62" s="189">
        <v>140414</v>
      </c>
      <c r="B62" s="147" t="s">
        <v>599</v>
      </c>
      <c r="C62" s="200" t="s">
        <v>650</v>
      </c>
      <c r="D62" s="147" t="s">
        <v>651</v>
      </c>
      <c r="E62" s="121">
        <v>262</v>
      </c>
      <c r="F62" s="120">
        <v>0</v>
      </c>
    </row>
    <row r="63" spans="1:6" ht="24">
      <c r="A63" s="189">
        <v>140414</v>
      </c>
      <c r="B63" s="147" t="s">
        <v>599</v>
      </c>
      <c r="C63" s="199">
        <v>210225402</v>
      </c>
      <c r="D63" s="147" t="s">
        <v>652</v>
      </c>
      <c r="E63" s="121">
        <v>383</v>
      </c>
      <c r="F63" s="120">
        <v>0</v>
      </c>
    </row>
    <row r="64" spans="1:6" ht="24">
      <c r="A64" s="189">
        <v>140414</v>
      </c>
      <c r="B64" s="147" t="s">
        <v>599</v>
      </c>
      <c r="C64" s="199">
        <v>210315403</v>
      </c>
      <c r="D64" s="147" t="s">
        <v>653</v>
      </c>
      <c r="E64" s="121">
        <v>115</v>
      </c>
      <c r="F64" s="120">
        <v>0</v>
      </c>
    </row>
    <row r="65" spans="1:6" ht="24">
      <c r="A65" s="189">
        <v>140414</v>
      </c>
      <c r="B65" s="147" t="s">
        <v>599</v>
      </c>
      <c r="C65" s="199">
        <v>210341503</v>
      </c>
      <c r="D65" s="147" t="s">
        <v>654</v>
      </c>
      <c r="E65" s="121">
        <v>75</v>
      </c>
      <c r="F65" s="120">
        <v>0</v>
      </c>
    </row>
    <row r="66" spans="1:6" ht="24">
      <c r="A66" s="189">
        <v>140414</v>
      </c>
      <c r="B66" s="147" t="s">
        <v>599</v>
      </c>
      <c r="C66" s="199">
        <v>210518205</v>
      </c>
      <c r="D66" s="147" t="s">
        <v>655</v>
      </c>
      <c r="E66" s="121">
        <v>25</v>
      </c>
      <c r="F66" s="120">
        <v>0</v>
      </c>
    </row>
    <row r="67" spans="1:6" ht="24">
      <c r="A67" s="189">
        <v>140414</v>
      </c>
      <c r="B67" s="147" t="s">
        <v>599</v>
      </c>
      <c r="C67" s="199">
        <v>210525805</v>
      </c>
      <c r="D67" s="147" t="s">
        <v>656</v>
      </c>
      <c r="E67" s="121">
        <v>173</v>
      </c>
      <c r="F67" s="120">
        <v>0</v>
      </c>
    </row>
    <row r="68" spans="1:6" ht="24">
      <c r="A68" s="189">
        <v>140414</v>
      </c>
      <c r="B68" s="147" t="s">
        <v>599</v>
      </c>
      <c r="C68" s="199">
        <v>210527205</v>
      </c>
      <c r="D68" s="147" t="s">
        <v>657</v>
      </c>
      <c r="E68" s="121">
        <v>155</v>
      </c>
      <c r="F68" s="120">
        <v>0</v>
      </c>
    </row>
    <row r="69" spans="1:6" ht="24">
      <c r="A69" s="189">
        <v>140414</v>
      </c>
      <c r="B69" s="147" t="s">
        <v>599</v>
      </c>
      <c r="C69" s="199">
        <v>210608606</v>
      </c>
      <c r="D69" s="147" t="s">
        <v>658</v>
      </c>
      <c r="E69" s="121">
        <v>220</v>
      </c>
      <c r="F69" s="120">
        <v>0</v>
      </c>
    </row>
    <row r="70" spans="1:6" ht="24">
      <c r="A70" s="189">
        <v>140414</v>
      </c>
      <c r="B70" s="147" t="s">
        <v>599</v>
      </c>
      <c r="C70" s="199">
        <v>210613006</v>
      </c>
      <c r="D70" s="147" t="s">
        <v>659</v>
      </c>
      <c r="E70" s="121">
        <v>97</v>
      </c>
      <c r="F70" s="120">
        <v>0</v>
      </c>
    </row>
    <row r="71" spans="1:6" ht="24">
      <c r="A71" s="189">
        <v>140414</v>
      </c>
      <c r="B71" s="147" t="s">
        <v>599</v>
      </c>
      <c r="C71" s="199">
        <v>210641006</v>
      </c>
      <c r="D71" s="147" t="s">
        <v>660</v>
      </c>
      <c r="E71" s="121">
        <v>170</v>
      </c>
      <c r="F71" s="120">
        <v>0</v>
      </c>
    </row>
    <row r="72" spans="1:6" ht="24">
      <c r="A72" s="189">
        <v>140414</v>
      </c>
      <c r="B72" s="147" t="s">
        <v>599</v>
      </c>
      <c r="C72" s="199">
        <v>210641306</v>
      </c>
      <c r="D72" s="147" t="s">
        <v>661</v>
      </c>
      <c r="E72" s="121">
        <v>326</v>
      </c>
      <c r="F72" s="120">
        <v>0</v>
      </c>
    </row>
    <row r="73" spans="1:6" ht="24">
      <c r="A73" s="189">
        <v>140414</v>
      </c>
      <c r="B73" s="147" t="s">
        <v>599</v>
      </c>
      <c r="C73" s="199">
        <v>210650006</v>
      </c>
      <c r="D73" s="147" t="s">
        <v>662</v>
      </c>
      <c r="E73" s="121">
        <v>49</v>
      </c>
      <c r="F73" s="120">
        <v>0</v>
      </c>
    </row>
    <row r="74" spans="1:6" ht="24">
      <c r="A74" s="189">
        <v>140414</v>
      </c>
      <c r="B74" s="147" t="s">
        <v>599</v>
      </c>
      <c r="C74" s="199">
        <v>210650606</v>
      </c>
      <c r="D74" s="147" t="s">
        <v>663</v>
      </c>
      <c r="E74" s="121">
        <v>435</v>
      </c>
      <c r="F74" s="120">
        <v>0</v>
      </c>
    </row>
    <row r="75" spans="1:6" ht="24">
      <c r="A75" s="189">
        <v>140414</v>
      </c>
      <c r="B75" s="147" t="s">
        <v>599</v>
      </c>
      <c r="C75" s="199">
        <v>210676306</v>
      </c>
      <c r="D75" s="147" t="s">
        <v>664</v>
      </c>
      <c r="E75" s="121">
        <v>25</v>
      </c>
      <c r="F75" s="120">
        <v>0</v>
      </c>
    </row>
    <row r="76" spans="1:6" ht="24">
      <c r="A76" s="189">
        <v>140414</v>
      </c>
      <c r="B76" s="147" t="s">
        <v>599</v>
      </c>
      <c r="C76" s="199">
        <v>210715507</v>
      </c>
      <c r="D76" s="147" t="s">
        <v>665</v>
      </c>
      <c r="E76" s="121">
        <v>345</v>
      </c>
      <c r="F76" s="120">
        <v>0</v>
      </c>
    </row>
    <row r="77" spans="1:6" ht="24">
      <c r="A77" s="189">
        <v>140414</v>
      </c>
      <c r="B77" s="147" t="s">
        <v>599</v>
      </c>
      <c r="C77" s="199">
        <v>210719807</v>
      </c>
      <c r="D77" s="147" t="s">
        <v>666</v>
      </c>
      <c r="E77" s="121">
        <v>348</v>
      </c>
      <c r="F77" s="120">
        <v>0</v>
      </c>
    </row>
    <row r="78" spans="1:6" ht="24">
      <c r="A78" s="189">
        <v>140414</v>
      </c>
      <c r="B78" s="147" t="s">
        <v>599</v>
      </c>
      <c r="C78" s="199">
        <v>210723807</v>
      </c>
      <c r="D78" s="147" t="s">
        <v>667</v>
      </c>
      <c r="E78" s="121">
        <v>1862</v>
      </c>
      <c r="F78" s="120">
        <v>0</v>
      </c>
    </row>
    <row r="79" spans="1:6" ht="24">
      <c r="A79" s="189">
        <v>140414</v>
      </c>
      <c r="B79" s="147" t="s">
        <v>599</v>
      </c>
      <c r="C79" s="199">
        <v>210725307</v>
      </c>
      <c r="D79" s="147" t="s">
        <v>668</v>
      </c>
      <c r="E79" s="121">
        <v>25</v>
      </c>
      <c r="F79" s="120">
        <v>0</v>
      </c>
    </row>
    <row r="80" spans="1:6" ht="24">
      <c r="A80" s="189">
        <v>140414</v>
      </c>
      <c r="B80" s="147" t="s">
        <v>599</v>
      </c>
      <c r="C80" s="199">
        <v>210741807</v>
      </c>
      <c r="D80" s="147" t="s">
        <v>669</v>
      </c>
      <c r="E80" s="121">
        <v>264</v>
      </c>
      <c r="F80" s="120">
        <v>0</v>
      </c>
    </row>
    <row r="81" spans="1:6" ht="24">
      <c r="A81" s="189">
        <v>140414</v>
      </c>
      <c r="B81" s="147" t="s">
        <v>599</v>
      </c>
      <c r="C81" s="199">
        <v>210873408</v>
      </c>
      <c r="D81" s="147" t="s">
        <v>670</v>
      </c>
      <c r="E81" s="121">
        <v>210</v>
      </c>
      <c r="F81" s="120">
        <v>0</v>
      </c>
    </row>
    <row r="82" spans="1:6" ht="24">
      <c r="A82" s="189">
        <v>140414</v>
      </c>
      <c r="B82" s="147" t="s">
        <v>599</v>
      </c>
      <c r="C82" s="199">
        <v>210915109</v>
      </c>
      <c r="D82" s="147" t="s">
        <v>671</v>
      </c>
      <c r="E82" s="121">
        <v>139</v>
      </c>
      <c r="F82" s="120">
        <v>0</v>
      </c>
    </row>
    <row r="83" spans="1:6" ht="24">
      <c r="A83" s="189">
        <v>140414</v>
      </c>
      <c r="B83" s="147" t="s">
        <v>599</v>
      </c>
      <c r="C83" s="199">
        <v>210968209</v>
      </c>
      <c r="D83" s="147" t="s">
        <v>672</v>
      </c>
      <c r="E83" s="121">
        <v>98</v>
      </c>
      <c r="F83" s="120">
        <v>0</v>
      </c>
    </row>
    <row r="84" spans="1:6" ht="24">
      <c r="A84" s="189">
        <v>140414</v>
      </c>
      <c r="B84" s="147" t="s">
        <v>599</v>
      </c>
      <c r="C84" s="199">
        <v>211027810</v>
      </c>
      <c r="D84" s="147" t="s">
        <v>673</v>
      </c>
      <c r="E84" s="121">
        <v>188</v>
      </c>
      <c r="F84" s="120">
        <v>0</v>
      </c>
    </row>
    <row r="85" spans="1:6" ht="24">
      <c r="A85" s="189">
        <v>140414</v>
      </c>
      <c r="B85" s="147" t="s">
        <v>599</v>
      </c>
      <c r="C85" s="199">
        <v>211054810</v>
      </c>
      <c r="D85" s="147" t="s">
        <v>674</v>
      </c>
      <c r="E85" s="121">
        <v>10</v>
      </c>
      <c r="F85" s="120">
        <v>0</v>
      </c>
    </row>
    <row r="86" spans="1:6" ht="24">
      <c r="A86" s="189">
        <v>140414</v>
      </c>
      <c r="B86" s="147" t="s">
        <v>599</v>
      </c>
      <c r="C86" s="199">
        <v>211085010</v>
      </c>
      <c r="D86" s="147" t="s">
        <v>675</v>
      </c>
      <c r="E86" s="121">
        <v>55</v>
      </c>
      <c r="F86" s="120">
        <v>0</v>
      </c>
    </row>
    <row r="87" spans="1:6" ht="24">
      <c r="A87" s="189">
        <v>140414</v>
      </c>
      <c r="B87" s="147" t="s">
        <v>599</v>
      </c>
      <c r="C87" s="199">
        <v>211150711</v>
      </c>
      <c r="D87" s="147" t="s">
        <v>676</v>
      </c>
      <c r="E87" s="121">
        <v>400</v>
      </c>
      <c r="F87" s="120">
        <v>0</v>
      </c>
    </row>
    <row r="88" spans="1:6" ht="24">
      <c r="A88" s="189">
        <v>140414</v>
      </c>
      <c r="B88" s="147" t="s">
        <v>599</v>
      </c>
      <c r="C88" s="199">
        <v>211176111</v>
      </c>
      <c r="D88" s="147" t="s">
        <v>677</v>
      </c>
      <c r="E88" s="121">
        <v>67</v>
      </c>
      <c r="F88" s="120">
        <v>0</v>
      </c>
    </row>
    <row r="89" spans="1:6" ht="24">
      <c r="A89" s="189">
        <v>140414</v>
      </c>
      <c r="B89" s="147" t="s">
        <v>599</v>
      </c>
      <c r="C89" s="199">
        <v>211213212</v>
      </c>
      <c r="D89" s="147" t="s">
        <v>678</v>
      </c>
      <c r="E89" s="121">
        <v>267</v>
      </c>
      <c r="F89" s="120">
        <v>0</v>
      </c>
    </row>
    <row r="90" spans="1:6" ht="24">
      <c r="A90" s="189">
        <v>140414</v>
      </c>
      <c r="B90" s="147" t="s">
        <v>599</v>
      </c>
      <c r="C90" s="199">
        <v>211225312</v>
      </c>
      <c r="D90" s="147" t="s">
        <v>679</v>
      </c>
      <c r="E90" s="121">
        <v>85</v>
      </c>
      <c r="F90" s="120">
        <v>0</v>
      </c>
    </row>
    <row r="91" spans="1:6" ht="24">
      <c r="A91" s="189">
        <v>140414</v>
      </c>
      <c r="B91" s="147" t="s">
        <v>599</v>
      </c>
      <c r="C91" s="199">
        <v>211317013</v>
      </c>
      <c r="D91" s="147" t="s">
        <v>680</v>
      </c>
      <c r="E91" s="121">
        <v>255</v>
      </c>
      <c r="F91" s="120">
        <v>0</v>
      </c>
    </row>
    <row r="92" spans="1:6" ht="24">
      <c r="A92" s="189">
        <v>140414</v>
      </c>
      <c r="B92" s="147" t="s">
        <v>599</v>
      </c>
      <c r="C92" s="199">
        <v>211319513</v>
      </c>
      <c r="D92" s="147" t="s">
        <v>681</v>
      </c>
      <c r="E92" s="121">
        <v>145</v>
      </c>
      <c r="F92" s="120">
        <v>0</v>
      </c>
    </row>
    <row r="93" spans="1:6" ht="24">
      <c r="A93" s="189">
        <v>140414</v>
      </c>
      <c r="B93" s="147" t="s">
        <v>599</v>
      </c>
      <c r="C93" s="199">
        <v>211325513</v>
      </c>
      <c r="D93" s="147" t="s">
        <v>682</v>
      </c>
      <c r="E93" s="121">
        <v>305</v>
      </c>
      <c r="F93" s="120">
        <v>0</v>
      </c>
    </row>
    <row r="94" spans="1:6" ht="24">
      <c r="A94" s="189">
        <v>140414</v>
      </c>
      <c r="B94" s="147" t="s">
        <v>599</v>
      </c>
      <c r="C94" s="199">
        <v>211341013</v>
      </c>
      <c r="D94" s="147" t="s">
        <v>683</v>
      </c>
      <c r="E94" s="121">
        <v>148</v>
      </c>
      <c r="F94" s="120">
        <v>0</v>
      </c>
    </row>
    <row r="95" spans="1:6" ht="24">
      <c r="A95" s="189">
        <v>140414</v>
      </c>
      <c r="B95" s="147" t="s">
        <v>599</v>
      </c>
      <c r="C95" s="199">
        <v>211350313</v>
      </c>
      <c r="D95" s="147" t="s">
        <v>684</v>
      </c>
      <c r="E95" s="121">
        <v>155</v>
      </c>
      <c r="F95" s="120">
        <v>0</v>
      </c>
    </row>
    <row r="96" spans="1:6" ht="24">
      <c r="A96" s="189">
        <v>140414</v>
      </c>
      <c r="B96" s="147" t="s">
        <v>599</v>
      </c>
      <c r="C96" s="199">
        <v>211368013</v>
      </c>
      <c r="D96" s="147" t="s">
        <v>685</v>
      </c>
      <c r="E96" s="121">
        <v>116</v>
      </c>
      <c r="F96" s="120">
        <v>0</v>
      </c>
    </row>
    <row r="97" spans="1:6" ht="24">
      <c r="A97" s="189">
        <v>140414</v>
      </c>
      <c r="B97" s="147" t="s">
        <v>599</v>
      </c>
      <c r="C97" s="199">
        <v>211415114</v>
      </c>
      <c r="D97" s="147" t="s">
        <v>686</v>
      </c>
      <c r="E97" s="121">
        <v>83</v>
      </c>
      <c r="F97" s="120">
        <v>0</v>
      </c>
    </row>
    <row r="98" spans="1:6" ht="24">
      <c r="A98" s="189">
        <v>140414</v>
      </c>
      <c r="B98" s="147" t="s">
        <v>599</v>
      </c>
      <c r="C98" s="199">
        <v>211415514</v>
      </c>
      <c r="D98" s="147" t="s">
        <v>687</v>
      </c>
      <c r="E98" s="121">
        <v>218</v>
      </c>
      <c r="F98" s="120">
        <v>0</v>
      </c>
    </row>
    <row r="99" spans="1:6" ht="24">
      <c r="A99" s="189">
        <v>140414</v>
      </c>
      <c r="B99" s="147" t="s">
        <v>599</v>
      </c>
      <c r="C99" s="199">
        <v>211425214</v>
      </c>
      <c r="D99" s="147" t="s">
        <v>688</v>
      </c>
      <c r="E99" s="121">
        <v>139</v>
      </c>
      <c r="F99" s="120">
        <v>0</v>
      </c>
    </row>
    <row r="100" spans="1:6" ht="24">
      <c r="A100" s="189">
        <v>140414</v>
      </c>
      <c r="B100" s="147" t="s">
        <v>599</v>
      </c>
      <c r="C100" s="199">
        <v>211525815</v>
      </c>
      <c r="D100" s="147" t="s">
        <v>689</v>
      </c>
      <c r="E100" s="121">
        <v>462</v>
      </c>
      <c r="F100" s="120">
        <v>0</v>
      </c>
    </row>
    <row r="101" spans="1:6" ht="24">
      <c r="A101" s="189">
        <v>140414</v>
      </c>
      <c r="B101" s="147" t="s">
        <v>599</v>
      </c>
      <c r="C101" s="199">
        <v>211568615</v>
      </c>
      <c r="D101" s="147" t="s">
        <v>690</v>
      </c>
      <c r="E101" s="121">
        <v>330</v>
      </c>
      <c r="F101" s="120">
        <v>0</v>
      </c>
    </row>
    <row r="102" spans="1:6" ht="24">
      <c r="A102" s="189">
        <v>140414</v>
      </c>
      <c r="B102" s="147" t="s">
        <v>599</v>
      </c>
      <c r="C102" s="199">
        <v>211570215</v>
      </c>
      <c r="D102" s="147" t="s">
        <v>691</v>
      </c>
      <c r="E102" s="121">
        <v>13</v>
      </c>
      <c r="F102" s="120">
        <v>0</v>
      </c>
    </row>
    <row r="103" spans="1:6" ht="24">
      <c r="A103" s="189">
        <v>140414</v>
      </c>
      <c r="B103" s="147" t="s">
        <v>599</v>
      </c>
      <c r="C103" s="199">
        <v>211585315</v>
      </c>
      <c r="D103" s="147" t="s">
        <v>692</v>
      </c>
      <c r="E103" s="121">
        <v>86</v>
      </c>
      <c r="F103" s="120">
        <v>0</v>
      </c>
    </row>
    <row r="104" spans="1:6" ht="24">
      <c r="A104" s="189">
        <v>140414</v>
      </c>
      <c r="B104" s="147" t="s">
        <v>599</v>
      </c>
      <c r="C104" s="199">
        <v>211641016</v>
      </c>
      <c r="D104" s="147" t="s">
        <v>693</v>
      </c>
      <c r="E104" s="121">
        <v>40</v>
      </c>
      <c r="F104" s="120">
        <v>0</v>
      </c>
    </row>
    <row r="105" spans="1:6" ht="24">
      <c r="A105" s="189">
        <v>140414</v>
      </c>
      <c r="B105" s="147" t="s">
        <v>599</v>
      </c>
      <c r="C105" s="199">
        <v>211715317</v>
      </c>
      <c r="D105" s="147" t="s">
        <v>694</v>
      </c>
      <c r="E105" s="121">
        <v>73</v>
      </c>
      <c r="F105" s="120">
        <v>0</v>
      </c>
    </row>
    <row r="106" spans="1:6" ht="24">
      <c r="A106" s="189">
        <v>140414</v>
      </c>
      <c r="B106" s="147" t="s">
        <v>599</v>
      </c>
      <c r="C106" s="199">
        <v>211725317</v>
      </c>
      <c r="D106" s="147" t="s">
        <v>695</v>
      </c>
      <c r="E106" s="121">
        <v>197</v>
      </c>
      <c r="F106" s="120">
        <v>0</v>
      </c>
    </row>
    <row r="107" spans="1:6" s="160" customFormat="1" ht="24">
      <c r="A107" s="189">
        <v>140414</v>
      </c>
      <c r="B107" s="147" t="s">
        <v>599</v>
      </c>
      <c r="C107" s="199">
        <v>211725817</v>
      </c>
      <c r="D107" s="147" t="s">
        <v>696</v>
      </c>
      <c r="E107" s="118">
        <v>55</v>
      </c>
      <c r="F107" s="120">
        <v>0</v>
      </c>
    </row>
    <row r="108" spans="1:6" ht="24">
      <c r="A108" s="189">
        <v>140414</v>
      </c>
      <c r="B108" s="147" t="s">
        <v>599</v>
      </c>
      <c r="C108" s="199">
        <v>211768217</v>
      </c>
      <c r="D108" s="147" t="s">
        <v>697</v>
      </c>
      <c r="E108" s="121">
        <v>111</v>
      </c>
      <c r="F108" s="120">
        <v>0</v>
      </c>
    </row>
    <row r="109" spans="1:6" ht="24">
      <c r="A109" s="189">
        <v>140414</v>
      </c>
      <c r="B109" s="147" t="s">
        <v>599</v>
      </c>
      <c r="C109" s="199">
        <v>211825718</v>
      </c>
      <c r="D109" s="147" t="s">
        <v>698</v>
      </c>
      <c r="E109" s="121">
        <v>5</v>
      </c>
      <c r="F109" s="120">
        <v>0</v>
      </c>
    </row>
    <row r="110" spans="1:6" ht="24">
      <c r="A110" s="189">
        <v>140414</v>
      </c>
      <c r="B110" s="147" t="s">
        <v>599</v>
      </c>
      <c r="C110" s="199">
        <v>211841518</v>
      </c>
      <c r="D110" s="147" t="s">
        <v>699</v>
      </c>
      <c r="E110" s="121">
        <v>123</v>
      </c>
      <c r="F110" s="120">
        <v>0</v>
      </c>
    </row>
    <row r="111" spans="1:6" ht="24">
      <c r="A111" s="189">
        <v>140414</v>
      </c>
      <c r="B111" s="147" t="s">
        <v>599</v>
      </c>
      <c r="C111" s="199">
        <v>211850318</v>
      </c>
      <c r="D111" s="147" t="s">
        <v>700</v>
      </c>
      <c r="E111" s="121">
        <v>38</v>
      </c>
      <c r="F111" s="120">
        <v>0</v>
      </c>
    </row>
    <row r="112" spans="1:6" ht="24">
      <c r="A112" s="189">
        <v>140414</v>
      </c>
      <c r="B112" s="147" t="s">
        <v>599</v>
      </c>
      <c r="C112" s="199">
        <v>211868418</v>
      </c>
      <c r="D112" s="147" t="s">
        <v>701</v>
      </c>
      <c r="E112" s="121">
        <v>240</v>
      </c>
      <c r="F112" s="120">
        <v>0</v>
      </c>
    </row>
    <row r="113" spans="1:6" ht="24">
      <c r="A113" s="189">
        <v>140414</v>
      </c>
      <c r="B113" s="147" t="s">
        <v>599</v>
      </c>
      <c r="C113" s="199">
        <v>211925019</v>
      </c>
      <c r="D113" s="147" t="s">
        <v>702</v>
      </c>
      <c r="E113" s="121">
        <v>185</v>
      </c>
      <c r="F113" s="120">
        <v>0</v>
      </c>
    </row>
    <row r="114" spans="1:6" ht="24">
      <c r="A114" s="189">
        <v>140414</v>
      </c>
      <c r="B114" s="147" t="s">
        <v>599</v>
      </c>
      <c r="C114" s="199">
        <v>211941319</v>
      </c>
      <c r="D114" s="147" t="s">
        <v>703</v>
      </c>
      <c r="E114" s="121">
        <v>123</v>
      </c>
      <c r="F114" s="120">
        <v>0</v>
      </c>
    </row>
    <row r="115" spans="1:6" ht="24">
      <c r="A115" s="189">
        <v>140414</v>
      </c>
      <c r="B115" s="147" t="s">
        <v>599</v>
      </c>
      <c r="C115" s="199">
        <v>211952019</v>
      </c>
      <c r="D115" s="147" t="s">
        <v>704</v>
      </c>
      <c r="E115" s="121">
        <v>191</v>
      </c>
      <c r="F115" s="120">
        <v>0</v>
      </c>
    </row>
    <row r="116" spans="1:6" ht="24">
      <c r="A116" s="189">
        <v>140414</v>
      </c>
      <c r="B116" s="147" t="s">
        <v>599</v>
      </c>
      <c r="C116" s="199">
        <v>211986219</v>
      </c>
      <c r="D116" s="147" t="s">
        <v>705</v>
      </c>
      <c r="E116" s="121">
        <v>99</v>
      </c>
      <c r="F116" s="120">
        <v>0</v>
      </c>
    </row>
    <row r="117" spans="1:6" ht="24">
      <c r="A117" s="189">
        <v>140414</v>
      </c>
      <c r="B117" s="147" t="s">
        <v>599</v>
      </c>
      <c r="C117" s="199">
        <v>212013620</v>
      </c>
      <c r="D117" s="147" t="s">
        <v>706</v>
      </c>
      <c r="E117" s="121">
        <v>90</v>
      </c>
      <c r="F117" s="120">
        <v>0</v>
      </c>
    </row>
    <row r="118" spans="1:6" ht="24">
      <c r="A118" s="189">
        <v>140414</v>
      </c>
      <c r="B118" s="147" t="s">
        <v>599</v>
      </c>
      <c r="C118" s="199">
        <v>212015820</v>
      </c>
      <c r="D118" s="147" t="s">
        <v>707</v>
      </c>
      <c r="E118" s="121">
        <v>30</v>
      </c>
      <c r="F118" s="120">
        <v>0</v>
      </c>
    </row>
    <row r="119" spans="1:6" ht="24">
      <c r="A119" s="189">
        <v>140414</v>
      </c>
      <c r="B119" s="147" t="s">
        <v>599</v>
      </c>
      <c r="C119" s="199">
        <v>212025120</v>
      </c>
      <c r="D119" s="147" t="s">
        <v>708</v>
      </c>
      <c r="E119" s="121">
        <v>184</v>
      </c>
      <c r="F119" s="120">
        <v>0</v>
      </c>
    </row>
    <row r="120" spans="1:6" ht="24">
      <c r="A120" s="189">
        <v>140414</v>
      </c>
      <c r="B120" s="147" t="s">
        <v>599</v>
      </c>
      <c r="C120" s="199">
        <v>212025320</v>
      </c>
      <c r="D120" s="147" t="s">
        <v>709</v>
      </c>
      <c r="E120" s="121">
        <v>610</v>
      </c>
      <c r="F120" s="120">
        <v>0</v>
      </c>
    </row>
    <row r="121" spans="1:6" ht="24">
      <c r="A121" s="189">
        <v>140414</v>
      </c>
      <c r="B121" s="147" t="s">
        <v>599</v>
      </c>
      <c r="C121" s="199">
        <v>212041020</v>
      </c>
      <c r="D121" s="147" t="s">
        <v>710</v>
      </c>
      <c r="E121" s="121">
        <v>213</v>
      </c>
      <c r="F121" s="120">
        <v>0</v>
      </c>
    </row>
    <row r="122" spans="1:6" ht="24">
      <c r="A122" s="189">
        <v>140414</v>
      </c>
      <c r="B122" s="147" t="s">
        <v>599</v>
      </c>
      <c r="C122" s="199">
        <v>212054520</v>
      </c>
      <c r="D122" s="147" t="s">
        <v>711</v>
      </c>
      <c r="E122" s="121">
        <v>175</v>
      </c>
      <c r="F122" s="120">
        <v>0</v>
      </c>
    </row>
    <row r="123" spans="1:6" ht="24">
      <c r="A123" s="189">
        <v>140414</v>
      </c>
      <c r="B123" s="147" t="s">
        <v>599</v>
      </c>
      <c r="C123" s="199">
        <v>212068820</v>
      </c>
      <c r="D123" s="147" t="s">
        <v>712</v>
      </c>
      <c r="E123" s="121">
        <v>107</v>
      </c>
      <c r="F123" s="120">
        <v>0</v>
      </c>
    </row>
    <row r="124" spans="1:6" ht="24">
      <c r="A124" s="189">
        <v>140414</v>
      </c>
      <c r="B124" s="147" t="s">
        <v>599</v>
      </c>
      <c r="C124" s="199">
        <v>212076020</v>
      </c>
      <c r="D124" s="147" t="s">
        <v>713</v>
      </c>
      <c r="E124" s="121">
        <v>231</v>
      </c>
      <c r="F124" s="120">
        <v>0</v>
      </c>
    </row>
    <row r="125" spans="1:6" ht="24">
      <c r="A125" s="189">
        <v>140414</v>
      </c>
      <c r="B125" s="147" t="s">
        <v>599</v>
      </c>
      <c r="C125" s="199">
        <v>212076520</v>
      </c>
      <c r="D125" s="147" t="s">
        <v>714</v>
      </c>
      <c r="E125" s="121">
        <v>468</v>
      </c>
      <c r="F125" s="120">
        <v>0</v>
      </c>
    </row>
    <row r="126" spans="1:6" ht="24">
      <c r="A126" s="189">
        <v>140414</v>
      </c>
      <c r="B126" s="147" t="s">
        <v>599</v>
      </c>
      <c r="C126" s="199">
        <v>212105321</v>
      </c>
      <c r="D126" s="147" t="s">
        <v>715</v>
      </c>
      <c r="E126" s="121">
        <v>422</v>
      </c>
      <c r="F126" s="120">
        <v>0</v>
      </c>
    </row>
    <row r="127" spans="1:6" ht="24">
      <c r="A127" s="189">
        <v>140414</v>
      </c>
      <c r="B127" s="147" t="s">
        <v>599</v>
      </c>
      <c r="C127" s="199">
        <v>212115621</v>
      </c>
      <c r="D127" s="147" t="s">
        <v>716</v>
      </c>
      <c r="E127" s="121">
        <v>85</v>
      </c>
      <c r="F127" s="120">
        <v>0</v>
      </c>
    </row>
    <row r="128" spans="1:6" ht="24">
      <c r="A128" s="189">
        <v>140414</v>
      </c>
      <c r="B128" s="147" t="s">
        <v>599</v>
      </c>
      <c r="C128" s="199">
        <v>212119821</v>
      </c>
      <c r="D128" s="147" t="s">
        <v>717</v>
      </c>
      <c r="E128" s="121">
        <v>453</v>
      </c>
      <c r="F128" s="120">
        <v>0</v>
      </c>
    </row>
    <row r="129" spans="1:6" ht="24">
      <c r="A129" s="189">
        <v>140414</v>
      </c>
      <c r="B129" s="147" t="s">
        <v>599</v>
      </c>
      <c r="C129" s="199">
        <v>212215322</v>
      </c>
      <c r="D129" s="147" t="s">
        <v>718</v>
      </c>
      <c r="E129" s="121">
        <v>257</v>
      </c>
      <c r="F129" s="120">
        <v>0</v>
      </c>
    </row>
    <row r="130" spans="1:6" ht="24">
      <c r="A130" s="189">
        <v>140414</v>
      </c>
      <c r="B130" s="147" t="s">
        <v>599</v>
      </c>
      <c r="C130" s="199">
        <v>212225322</v>
      </c>
      <c r="D130" s="147" t="s">
        <v>719</v>
      </c>
      <c r="E130" s="121">
        <v>278</v>
      </c>
      <c r="F130" s="120">
        <v>0</v>
      </c>
    </row>
    <row r="131" spans="1:6" ht="24">
      <c r="A131" s="189">
        <v>140414</v>
      </c>
      <c r="B131" s="147" t="s">
        <v>599</v>
      </c>
      <c r="C131" s="199">
        <v>212268322</v>
      </c>
      <c r="D131" s="147" t="s">
        <v>720</v>
      </c>
      <c r="E131" s="121">
        <v>75</v>
      </c>
      <c r="F131" s="120">
        <v>0</v>
      </c>
    </row>
    <row r="132" spans="1:6" ht="24">
      <c r="A132" s="189">
        <v>140414</v>
      </c>
      <c r="B132" s="147" t="s">
        <v>599</v>
      </c>
      <c r="C132" s="199">
        <v>212315223</v>
      </c>
      <c r="D132" s="147" t="s">
        <v>721</v>
      </c>
      <c r="E132" s="121">
        <v>208</v>
      </c>
      <c r="F132" s="120">
        <v>0</v>
      </c>
    </row>
    <row r="133" spans="1:6" ht="24">
      <c r="A133" s="189">
        <v>140414</v>
      </c>
      <c r="B133" s="147" t="s">
        <v>599</v>
      </c>
      <c r="C133" s="199">
        <v>212419824</v>
      </c>
      <c r="D133" s="147" t="s">
        <v>722</v>
      </c>
      <c r="E133" s="121">
        <v>200</v>
      </c>
      <c r="F133" s="120">
        <v>0</v>
      </c>
    </row>
    <row r="134" spans="1:6" ht="24">
      <c r="A134" s="189">
        <v>140414</v>
      </c>
      <c r="B134" s="147" t="s">
        <v>599</v>
      </c>
      <c r="C134" s="199">
        <v>212425224</v>
      </c>
      <c r="D134" s="147" t="s">
        <v>723</v>
      </c>
      <c r="E134" s="121">
        <v>223</v>
      </c>
      <c r="F134" s="120">
        <v>0</v>
      </c>
    </row>
    <row r="135" spans="1:6" ht="24">
      <c r="A135" s="189">
        <v>140414</v>
      </c>
      <c r="B135" s="147" t="s">
        <v>599</v>
      </c>
      <c r="C135" s="199">
        <v>212441524</v>
      </c>
      <c r="D135" s="147" t="s">
        <v>724</v>
      </c>
      <c r="E135" s="121">
        <v>292</v>
      </c>
      <c r="F135" s="120">
        <v>0</v>
      </c>
    </row>
    <row r="136" spans="1:6" ht="24">
      <c r="A136" s="189">
        <v>140414</v>
      </c>
      <c r="B136" s="147" t="s">
        <v>599</v>
      </c>
      <c r="C136" s="199">
        <v>212468524</v>
      </c>
      <c r="D136" s="147" t="s">
        <v>725</v>
      </c>
      <c r="E136" s="121">
        <v>148</v>
      </c>
      <c r="F136" s="120">
        <v>0</v>
      </c>
    </row>
    <row r="137" spans="1:6" ht="24">
      <c r="A137" s="189">
        <v>140414</v>
      </c>
      <c r="B137" s="147" t="s">
        <v>599</v>
      </c>
      <c r="C137" s="199">
        <v>212527025</v>
      </c>
      <c r="D137" s="147" t="s">
        <v>726</v>
      </c>
      <c r="E137" s="121">
        <v>242</v>
      </c>
      <c r="F137" s="120">
        <v>0</v>
      </c>
    </row>
    <row r="138" spans="1:6" ht="24">
      <c r="A138" s="189">
        <v>140414</v>
      </c>
      <c r="B138" s="147" t="s">
        <v>599</v>
      </c>
      <c r="C138" s="199">
        <v>212554125</v>
      </c>
      <c r="D138" s="147" t="s">
        <v>727</v>
      </c>
      <c r="E138" s="121">
        <v>110</v>
      </c>
      <c r="F138" s="120">
        <v>0</v>
      </c>
    </row>
    <row r="139" spans="1:6" ht="24">
      <c r="A139" s="189">
        <v>140414</v>
      </c>
      <c r="B139" s="147" t="s">
        <v>599</v>
      </c>
      <c r="C139" s="199">
        <v>212585225</v>
      </c>
      <c r="D139" s="147" t="s">
        <v>728</v>
      </c>
      <c r="E139" s="121">
        <v>27</v>
      </c>
      <c r="F139" s="120">
        <v>0</v>
      </c>
    </row>
    <row r="140" spans="1:6" ht="24">
      <c r="A140" s="189">
        <v>140414</v>
      </c>
      <c r="B140" s="147" t="s">
        <v>599</v>
      </c>
      <c r="C140" s="199">
        <v>212625126</v>
      </c>
      <c r="D140" s="147" t="s">
        <v>729</v>
      </c>
      <c r="E140" s="121">
        <v>658</v>
      </c>
      <c r="F140" s="120">
        <v>0</v>
      </c>
    </row>
    <row r="141" spans="1:6" ht="24">
      <c r="A141" s="189">
        <v>140414</v>
      </c>
      <c r="B141" s="147" t="s">
        <v>599</v>
      </c>
      <c r="C141" s="199">
        <v>212625326</v>
      </c>
      <c r="D141" s="147" t="s">
        <v>730</v>
      </c>
      <c r="E141" s="121">
        <v>259</v>
      </c>
      <c r="F141" s="120">
        <v>0</v>
      </c>
    </row>
    <row r="142" spans="1:6" ht="24">
      <c r="A142" s="189">
        <v>140414</v>
      </c>
      <c r="B142" s="147" t="s">
        <v>599</v>
      </c>
      <c r="C142" s="199">
        <v>212641026</v>
      </c>
      <c r="D142" s="147" t="s">
        <v>731</v>
      </c>
      <c r="E142" s="121">
        <v>131</v>
      </c>
      <c r="F142" s="120">
        <v>0</v>
      </c>
    </row>
    <row r="143" spans="1:6" ht="24">
      <c r="A143" s="189">
        <v>140414</v>
      </c>
      <c r="B143" s="147" t="s">
        <v>599</v>
      </c>
      <c r="C143" s="199">
        <v>212650226</v>
      </c>
      <c r="D143" s="147" t="s">
        <v>732</v>
      </c>
      <c r="E143" s="121">
        <v>261</v>
      </c>
      <c r="F143" s="120">
        <v>0</v>
      </c>
    </row>
    <row r="144" spans="1:6" ht="24">
      <c r="A144" s="189">
        <v>140414</v>
      </c>
      <c r="B144" s="147" t="s">
        <v>599</v>
      </c>
      <c r="C144" s="199">
        <v>212676126</v>
      </c>
      <c r="D144" s="147" t="s">
        <v>733</v>
      </c>
      <c r="E144" s="121">
        <v>427</v>
      </c>
      <c r="F144" s="120">
        <v>0</v>
      </c>
    </row>
    <row r="145" spans="1:6" ht="24">
      <c r="A145" s="189">
        <v>140414</v>
      </c>
      <c r="B145" s="147" t="s">
        <v>599</v>
      </c>
      <c r="C145" s="199">
        <v>212820228</v>
      </c>
      <c r="D145" s="147" t="s">
        <v>734</v>
      </c>
      <c r="E145" s="121">
        <v>306</v>
      </c>
      <c r="F145" s="120">
        <v>0</v>
      </c>
    </row>
    <row r="146" spans="1:6" ht="24">
      <c r="A146" s="189">
        <v>140414</v>
      </c>
      <c r="B146" s="147" t="s">
        <v>599</v>
      </c>
      <c r="C146" s="199">
        <v>212825328</v>
      </c>
      <c r="D146" s="147" t="s">
        <v>735</v>
      </c>
      <c r="E146" s="121">
        <v>163</v>
      </c>
      <c r="F146" s="120">
        <v>0</v>
      </c>
    </row>
    <row r="147" spans="1:6" ht="24">
      <c r="A147" s="189">
        <v>140414</v>
      </c>
      <c r="B147" s="147" t="s">
        <v>599</v>
      </c>
      <c r="C147" s="199">
        <v>212918029</v>
      </c>
      <c r="D147" s="147" t="s">
        <v>736</v>
      </c>
      <c r="E147" s="121">
        <v>5</v>
      </c>
      <c r="F147" s="120">
        <v>0</v>
      </c>
    </row>
    <row r="148" spans="1:6" ht="24">
      <c r="A148" s="189">
        <v>140414</v>
      </c>
      <c r="B148" s="147" t="s">
        <v>599</v>
      </c>
      <c r="C148" s="199">
        <v>213025430</v>
      </c>
      <c r="D148" s="147" t="s">
        <v>737</v>
      </c>
      <c r="E148" s="121">
        <v>9</v>
      </c>
      <c r="F148" s="120">
        <v>0</v>
      </c>
    </row>
    <row r="149" spans="1:6" ht="24">
      <c r="A149" s="189">
        <v>140414</v>
      </c>
      <c r="B149" s="147" t="s">
        <v>599</v>
      </c>
      <c r="C149" s="199">
        <v>213025530</v>
      </c>
      <c r="D149" s="147" t="s">
        <v>738</v>
      </c>
      <c r="E149" s="121">
        <v>205</v>
      </c>
      <c r="F149" s="120">
        <v>0</v>
      </c>
    </row>
    <row r="150" spans="1:6" ht="24">
      <c r="A150" s="189">
        <v>140414</v>
      </c>
      <c r="B150" s="147" t="s">
        <v>599</v>
      </c>
      <c r="C150" s="199">
        <v>213041530</v>
      </c>
      <c r="D150" s="147" t="s">
        <v>739</v>
      </c>
      <c r="E150" s="121">
        <v>147</v>
      </c>
      <c r="F150" s="120">
        <v>0</v>
      </c>
    </row>
    <row r="151" spans="1:6" ht="24">
      <c r="A151" s="189">
        <v>140414</v>
      </c>
      <c r="B151" s="147" t="s">
        <v>599</v>
      </c>
      <c r="C151" s="199">
        <v>213044430</v>
      </c>
      <c r="D151" s="147" t="s">
        <v>740</v>
      </c>
      <c r="E151" s="121">
        <v>8477</v>
      </c>
      <c r="F151" s="120">
        <v>0</v>
      </c>
    </row>
    <row r="152" spans="1:6" ht="24">
      <c r="A152" s="189">
        <v>140414</v>
      </c>
      <c r="B152" s="147" t="s">
        <v>599</v>
      </c>
      <c r="C152" s="199">
        <v>213050330</v>
      </c>
      <c r="D152" s="147" t="s">
        <v>741</v>
      </c>
      <c r="E152" s="121">
        <v>184</v>
      </c>
      <c r="F152" s="120">
        <v>0</v>
      </c>
    </row>
    <row r="153" spans="1:6" ht="24">
      <c r="A153" s="189">
        <v>140414</v>
      </c>
      <c r="B153" s="147" t="s">
        <v>599</v>
      </c>
      <c r="C153" s="199">
        <v>213076130</v>
      </c>
      <c r="D153" s="147" t="s">
        <v>742</v>
      </c>
      <c r="E153" s="121">
        <v>642</v>
      </c>
      <c r="F153" s="120">
        <v>0</v>
      </c>
    </row>
    <row r="154" spans="1:6" ht="24">
      <c r="A154" s="189">
        <v>140414</v>
      </c>
      <c r="B154" s="147" t="s">
        <v>599</v>
      </c>
      <c r="C154" s="200" t="s">
        <v>743</v>
      </c>
      <c r="D154" s="147" t="s">
        <v>744</v>
      </c>
      <c r="E154" s="121">
        <v>45</v>
      </c>
      <c r="F154" s="120">
        <v>0</v>
      </c>
    </row>
    <row r="155" spans="1:6" ht="24">
      <c r="A155" s="189">
        <v>140414</v>
      </c>
      <c r="B155" s="147" t="s">
        <v>599</v>
      </c>
      <c r="C155" s="199">
        <v>213115131</v>
      </c>
      <c r="D155" s="147" t="s">
        <v>745</v>
      </c>
      <c r="E155" s="121">
        <v>91</v>
      </c>
      <c r="F155" s="120">
        <v>0</v>
      </c>
    </row>
    <row r="156" spans="1:6" ht="24">
      <c r="A156" s="189">
        <v>140414</v>
      </c>
      <c r="B156" s="147" t="s">
        <v>599</v>
      </c>
      <c r="C156" s="199">
        <v>213215232</v>
      </c>
      <c r="D156" s="147" t="s">
        <v>746</v>
      </c>
      <c r="E156" s="121">
        <v>146</v>
      </c>
      <c r="F156" s="120">
        <v>0</v>
      </c>
    </row>
    <row r="157" spans="1:6" ht="24">
      <c r="A157" s="189">
        <v>140414</v>
      </c>
      <c r="B157" s="147" t="s">
        <v>599</v>
      </c>
      <c r="C157" s="199">
        <v>213215332</v>
      </c>
      <c r="D157" s="147" t="s">
        <v>747</v>
      </c>
      <c r="E157" s="121">
        <v>151</v>
      </c>
      <c r="F157" s="120">
        <v>0</v>
      </c>
    </row>
    <row r="158" spans="1:6" ht="24">
      <c r="A158" s="189">
        <v>140414</v>
      </c>
      <c r="B158" s="147" t="s">
        <v>599</v>
      </c>
      <c r="C158" s="199">
        <v>213215832</v>
      </c>
      <c r="D158" s="147" t="s">
        <v>748</v>
      </c>
      <c r="E158" s="121">
        <v>87</v>
      </c>
      <c r="F158" s="120">
        <v>0</v>
      </c>
    </row>
    <row r="159" spans="1:6" ht="24">
      <c r="A159" s="189">
        <v>140414</v>
      </c>
      <c r="B159" s="147" t="s">
        <v>599</v>
      </c>
      <c r="C159" s="199">
        <v>213219532</v>
      </c>
      <c r="D159" s="147" t="s">
        <v>749</v>
      </c>
      <c r="E159" s="121">
        <v>411</v>
      </c>
      <c r="F159" s="120">
        <v>0</v>
      </c>
    </row>
    <row r="160" spans="1:6" ht="24">
      <c r="A160" s="189">
        <v>140414</v>
      </c>
      <c r="B160" s="147" t="s">
        <v>599</v>
      </c>
      <c r="C160" s="199">
        <v>213241132</v>
      </c>
      <c r="D160" s="147" t="s">
        <v>750</v>
      </c>
      <c r="E160" s="121">
        <v>360</v>
      </c>
      <c r="F160" s="120">
        <v>0</v>
      </c>
    </row>
    <row r="161" spans="1:6" ht="24">
      <c r="A161" s="189">
        <v>140414</v>
      </c>
      <c r="B161" s="147" t="s">
        <v>599</v>
      </c>
      <c r="C161" s="199">
        <v>213268132</v>
      </c>
      <c r="D161" s="147" t="s">
        <v>751</v>
      </c>
      <c r="E161" s="121">
        <v>51</v>
      </c>
      <c r="F161" s="120">
        <v>0</v>
      </c>
    </row>
    <row r="162" spans="1:6" ht="24">
      <c r="A162" s="189">
        <v>140414</v>
      </c>
      <c r="B162" s="147" t="s">
        <v>599</v>
      </c>
      <c r="C162" s="199">
        <v>213315533</v>
      </c>
      <c r="D162" s="147" t="s">
        <v>752</v>
      </c>
      <c r="E162" s="121">
        <v>161</v>
      </c>
      <c r="F162" s="120">
        <v>0</v>
      </c>
    </row>
    <row r="163" spans="1:6" ht="24">
      <c r="A163" s="189">
        <v>140414</v>
      </c>
      <c r="B163" s="147" t="s">
        <v>599</v>
      </c>
      <c r="C163" s="199">
        <v>213319533</v>
      </c>
      <c r="D163" s="147" t="s">
        <v>753</v>
      </c>
      <c r="E163" s="121">
        <v>119</v>
      </c>
      <c r="F163" s="120">
        <v>0</v>
      </c>
    </row>
    <row r="164" spans="1:6" ht="24">
      <c r="A164" s="189">
        <v>140414</v>
      </c>
      <c r="B164" s="147" t="s">
        <v>599</v>
      </c>
      <c r="C164" s="199">
        <v>213515135</v>
      </c>
      <c r="D164" s="147" t="s">
        <v>754</v>
      </c>
      <c r="E164" s="121">
        <v>129</v>
      </c>
      <c r="F164" s="120">
        <v>0</v>
      </c>
    </row>
    <row r="165" spans="1:6" ht="24">
      <c r="A165" s="189">
        <v>140414</v>
      </c>
      <c r="B165" s="147" t="s">
        <v>599</v>
      </c>
      <c r="C165" s="199">
        <v>213525335</v>
      </c>
      <c r="D165" s="147" t="s">
        <v>755</v>
      </c>
      <c r="E165" s="121">
        <v>324</v>
      </c>
      <c r="F165" s="120">
        <v>0</v>
      </c>
    </row>
    <row r="166" spans="1:6" ht="24">
      <c r="A166" s="189">
        <v>140414</v>
      </c>
      <c r="B166" s="147" t="s">
        <v>599</v>
      </c>
      <c r="C166" s="199">
        <v>213525535</v>
      </c>
      <c r="D166" s="147" t="s">
        <v>756</v>
      </c>
      <c r="E166" s="121">
        <v>201</v>
      </c>
      <c r="F166" s="120">
        <v>0</v>
      </c>
    </row>
    <row r="167" spans="1:6" ht="24">
      <c r="A167" s="189">
        <v>140414</v>
      </c>
      <c r="B167" s="147" t="s">
        <v>599</v>
      </c>
      <c r="C167" s="199">
        <v>213527135</v>
      </c>
      <c r="D167" s="147" t="s">
        <v>757</v>
      </c>
      <c r="E167" s="121">
        <v>143</v>
      </c>
      <c r="F167" s="120">
        <v>0</v>
      </c>
    </row>
    <row r="168" spans="1:6" ht="24">
      <c r="A168" s="189">
        <v>140414</v>
      </c>
      <c r="B168" s="147" t="s">
        <v>599</v>
      </c>
      <c r="C168" s="199">
        <v>213544035</v>
      </c>
      <c r="D168" s="147" t="s">
        <v>758</v>
      </c>
      <c r="E168" s="121">
        <v>129</v>
      </c>
      <c r="F168" s="120">
        <v>0</v>
      </c>
    </row>
    <row r="169" spans="1:6" ht="24">
      <c r="A169" s="189">
        <v>140414</v>
      </c>
      <c r="B169" s="147" t="s">
        <v>599</v>
      </c>
      <c r="C169" s="200" t="s">
        <v>759</v>
      </c>
      <c r="D169" s="147" t="s">
        <v>760</v>
      </c>
      <c r="E169" s="121">
        <v>245</v>
      </c>
      <c r="F169" s="120">
        <v>0</v>
      </c>
    </row>
    <row r="170" spans="1:6" ht="24">
      <c r="A170" s="189">
        <v>140414</v>
      </c>
      <c r="B170" s="147" t="s">
        <v>599</v>
      </c>
      <c r="C170" s="199">
        <v>213615236</v>
      </c>
      <c r="D170" s="147" t="s">
        <v>761</v>
      </c>
      <c r="E170" s="121">
        <v>108</v>
      </c>
      <c r="F170" s="120">
        <v>0</v>
      </c>
    </row>
    <row r="171" spans="1:6" ht="24">
      <c r="A171" s="189">
        <v>140414</v>
      </c>
      <c r="B171" s="147" t="s">
        <v>599</v>
      </c>
      <c r="C171" s="199">
        <v>213625436</v>
      </c>
      <c r="D171" s="147" t="s">
        <v>762</v>
      </c>
      <c r="E171" s="121">
        <v>161</v>
      </c>
      <c r="F171" s="120">
        <v>0</v>
      </c>
    </row>
    <row r="172" spans="1:6" ht="24">
      <c r="A172" s="189">
        <v>140414</v>
      </c>
      <c r="B172" s="147" t="s">
        <v>599</v>
      </c>
      <c r="C172" s="199">
        <v>213708137</v>
      </c>
      <c r="D172" s="147" t="s">
        <v>763</v>
      </c>
      <c r="E172" s="121">
        <v>379</v>
      </c>
      <c r="F172" s="120">
        <v>0</v>
      </c>
    </row>
    <row r="173" spans="1:6" ht="24">
      <c r="A173" s="189">
        <v>140414</v>
      </c>
      <c r="B173" s="147" t="s">
        <v>599</v>
      </c>
      <c r="C173" s="199">
        <v>213719137</v>
      </c>
      <c r="D173" s="147" t="s">
        <v>764</v>
      </c>
      <c r="E173" s="121">
        <v>216</v>
      </c>
      <c r="F173" s="120">
        <v>0</v>
      </c>
    </row>
    <row r="174" spans="1:6" ht="24">
      <c r="A174" s="189">
        <v>140414</v>
      </c>
      <c r="B174" s="147" t="s">
        <v>599</v>
      </c>
      <c r="C174" s="199">
        <v>213808638</v>
      </c>
      <c r="D174" s="147" t="s">
        <v>765</v>
      </c>
      <c r="E174" s="121">
        <v>732</v>
      </c>
      <c r="F174" s="120">
        <v>0</v>
      </c>
    </row>
    <row r="175" spans="1:6" ht="24">
      <c r="A175" s="189">
        <v>140414</v>
      </c>
      <c r="B175" s="147" t="s">
        <v>599</v>
      </c>
      <c r="C175" s="199">
        <v>213925839</v>
      </c>
      <c r="D175" s="147" t="s">
        <v>766</v>
      </c>
      <c r="E175" s="121">
        <v>322</v>
      </c>
      <c r="F175" s="120">
        <v>0</v>
      </c>
    </row>
    <row r="176" spans="1:6" ht="24">
      <c r="A176" s="189">
        <v>140414</v>
      </c>
      <c r="B176" s="147" t="s">
        <v>599</v>
      </c>
      <c r="C176" s="200" t="s">
        <v>767</v>
      </c>
      <c r="D176" s="147" t="s">
        <v>768</v>
      </c>
      <c r="E176" s="121">
        <v>660</v>
      </c>
      <c r="F176" s="120">
        <v>0</v>
      </c>
    </row>
    <row r="177" spans="1:6" ht="24">
      <c r="A177" s="189">
        <v>140414</v>
      </c>
      <c r="B177" s="147" t="s">
        <v>599</v>
      </c>
      <c r="C177" s="199">
        <v>214066440</v>
      </c>
      <c r="D177" s="147" t="s">
        <v>769</v>
      </c>
      <c r="E177" s="121">
        <v>27</v>
      </c>
      <c r="F177" s="120">
        <v>0</v>
      </c>
    </row>
    <row r="178" spans="1:6" ht="24">
      <c r="A178" s="189">
        <v>140414</v>
      </c>
      <c r="B178" s="147" t="s">
        <v>599</v>
      </c>
      <c r="C178" s="199">
        <v>214085440</v>
      </c>
      <c r="D178" s="147" t="s">
        <v>770</v>
      </c>
      <c r="E178" s="121">
        <v>749</v>
      </c>
      <c r="F178" s="120">
        <v>0</v>
      </c>
    </row>
    <row r="179" spans="1:6" ht="24">
      <c r="A179" s="189">
        <v>140414</v>
      </c>
      <c r="B179" s="147" t="s">
        <v>599</v>
      </c>
      <c r="C179" s="199">
        <v>214108141</v>
      </c>
      <c r="D179" s="147" t="s">
        <v>771</v>
      </c>
      <c r="E179" s="121">
        <v>16</v>
      </c>
      <c r="F179" s="120">
        <v>0</v>
      </c>
    </row>
    <row r="180" spans="1:6" ht="24">
      <c r="A180" s="189">
        <v>140414</v>
      </c>
      <c r="B180" s="147" t="s">
        <v>599</v>
      </c>
      <c r="C180" s="199">
        <v>214125841</v>
      </c>
      <c r="D180" s="147" t="s">
        <v>772</v>
      </c>
      <c r="E180" s="121">
        <v>149</v>
      </c>
      <c r="F180" s="120">
        <v>0</v>
      </c>
    </row>
    <row r="181" spans="1:6" ht="24">
      <c r="A181" s="189">
        <v>140414</v>
      </c>
      <c r="B181" s="147" t="s">
        <v>599</v>
      </c>
      <c r="C181" s="199">
        <v>214205042</v>
      </c>
      <c r="D181" s="147" t="s">
        <v>773</v>
      </c>
      <c r="E181" s="121">
        <v>711</v>
      </c>
      <c r="F181" s="120">
        <v>0</v>
      </c>
    </row>
    <row r="182" spans="1:6" ht="24">
      <c r="A182" s="189">
        <v>140414</v>
      </c>
      <c r="B182" s="147" t="s">
        <v>599</v>
      </c>
      <c r="C182" s="199">
        <v>214217442</v>
      </c>
      <c r="D182" s="147" t="s">
        <v>774</v>
      </c>
      <c r="E182" s="121">
        <v>156</v>
      </c>
      <c r="F182" s="120">
        <v>0</v>
      </c>
    </row>
    <row r="183" spans="1:6" ht="24">
      <c r="A183" s="189">
        <v>140414</v>
      </c>
      <c r="B183" s="147" t="s">
        <v>599</v>
      </c>
      <c r="C183" s="199">
        <v>214219142</v>
      </c>
      <c r="D183" s="147" t="s">
        <v>775</v>
      </c>
      <c r="E183" s="121">
        <v>1128</v>
      </c>
      <c r="F183" s="120">
        <v>0</v>
      </c>
    </row>
    <row r="184" spans="1:6" ht="24">
      <c r="A184" s="189">
        <v>140414</v>
      </c>
      <c r="B184" s="147" t="s">
        <v>599</v>
      </c>
      <c r="C184" s="199">
        <v>214270742</v>
      </c>
      <c r="D184" s="147" t="s">
        <v>776</v>
      </c>
      <c r="E184" s="121">
        <v>359</v>
      </c>
      <c r="F184" s="120">
        <v>0</v>
      </c>
    </row>
    <row r="185" spans="1:6" ht="24">
      <c r="A185" s="189">
        <v>140414</v>
      </c>
      <c r="B185" s="147" t="s">
        <v>599</v>
      </c>
      <c r="C185" s="199">
        <v>214305543</v>
      </c>
      <c r="D185" s="147" t="s">
        <v>777</v>
      </c>
      <c r="E185" s="121">
        <v>183</v>
      </c>
      <c r="F185" s="120">
        <v>0</v>
      </c>
    </row>
    <row r="186" spans="1:6" ht="24">
      <c r="A186" s="189">
        <v>140414</v>
      </c>
      <c r="B186" s="147" t="s">
        <v>599</v>
      </c>
      <c r="C186" s="199">
        <v>214325843</v>
      </c>
      <c r="D186" s="147" t="s">
        <v>778</v>
      </c>
      <c r="E186" s="121">
        <v>492</v>
      </c>
      <c r="F186" s="120">
        <v>0</v>
      </c>
    </row>
    <row r="187" spans="1:6" ht="24">
      <c r="A187" s="189">
        <v>140414</v>
      </c>
      <c r="B187" s="147" t="s">
        <v>599</v>
      </c>
      <c r="C187" s="199">
        <v>214354743</v>
      </c>
      <c r="D187" s="147" t="s">
        <v>779</v>
      </c>
      <c r="E187" s="121">
        <v>96</v>
      </c>
      <c r="F187" s="120">
        <v>0</v>
      </c>
    </row>
    <row r="188" spans="1:6" ht="24">
      <c r="A188" s="189">
        <v>140414</v>
      </c>
      <c r="B188" s="147" t="s">
        <v>599</v>
      </c>
      <c r="C188" s="199">
        <v>214373043</v>
      </c>
      <c r="D188" s="147" t="s">
        <v>780</v>
      </c>
      <c r="E188" s="121">
        <v>18</v>
      </c>
      <c r="F188" s="120">
        <v>0</v>
      </c>
    </row>
    <row r="189" spans="1:6" ht="24">
      <c r="A189" s="189">
        <v>140414</v>
      </c>
      <c r="B189" s="147" t="s">
        <v>599</v>
      </c>
      <c r="C189" s="199">
        <v>214413744</v>
      </c>
      <c r="D189" s="147" t="s">
        <v>781</v>
      </c>
      <c r="E189" s="121">
        <v>142</v>
      </c>
      <c r="F189" s="120">
        <v>0</v>
      </c>
    </row>
    <row r="190" spans="1:6" ht="24">
      <c r="A190" s="189">
        <v>140414</v>
      </c>
      <c r="B190" s="147" t="s">
        <v>599</v>
      </c>
      <c r="C190" s="199">
        <v>214441244</v>
      </c>
      <c r="D190" s="147" t="s">
        <v>782</v>
      </c>
      <c r="E190" s="121">
        <v>73</v>
      </c>
      <c r="F190" s="120">
        <v>0</v>
      </c>
    </row>
    <row r="191" spans="1:6" ht="24">
      <c r="A191" s="189">
        <v>140414</v>
      </c>
      <c r="B191" s="147" t="s">
        <v>599</v>
      </c>
      <c r="C191" s="199">
        <v>214468344</v>
      </c>
      <c r="D191" s="147" t="s">
        <v>783</v>
      </c>
      <c r="E191" s="121">
        <v>79</v>
      </c>
      <c r="F191" s="120">
        <v>0</v>
      </c>
    </row>
    <row r="192" spans="1:6" ht="24">
      <c r="A192" s="189">
        <v>140414</v>
      </c>
      <c r="B192" s="147" t="s">
        <v>599</v>
      </c>
      <c r="C192" s="199">
        <v>214519845</v>
      </c>
      <c r="D192" s="147" t="s">
        <v>784</v>
      </c>
      <c r="E192" s="121">
        <v>285</v>
      </c>
      <c r="F192" s="120">
        <v>0</v>
      </c>
    </row>
    <row r="193" spans="1:6" ht="24">
      <c r="A193" s="189">
        <v>140414</v>
      </c>
      <c r="B193" s="147" t="s">
        <v>599</v>
      </c>
      <c r="C193" s="199">
        <v>214525245</v>
      </c>
      <c r="D193" s="147" t="s">
        <v>785</v>
      </c>
      <c r="E193" s="121">
        <v>6</v>
      </c>
      <c r="F193" s="120">
        <v>0</v>
      </c>
    </row>
    <row r="194" spans="1:6" ht="24">
      <c r="A194" s="189">
        <v>140414</v>
      </c>
      <c r="B194" s="147" t="s">
        <v>599</v>
      </c>
      <c r="C194" s="199">
        <v>214525745</v>
      </c>
      <c r="D194" s="147" t="s">
        <v>786</v>
      </c>
      <c r="E194" s="121">
        <v>235</v>
      </c>
      <c r="F194" s="120">
        <v>0</v>
      </c>
    </row>
    <row r="195" spans="1:6" ht="24">
      <c r="A195" s="189">
        <v>140414</v>
      </c>
      <c r="B195" s="147" t="s">
        <v>599</v>
      </c>
      <c r="C195" s="199">
        <v>214527245</v>
      </c>
      <c r="D195" s="147" t="s">
        <v>787</v>
      </c>
      <c r="E195" s="121">
        <v>62</v>
      </c>
      <c r="F195" s="120">
        <v>0</v>
      </c>
    </row>
    <row r="196" spans="1:6" ht="24">
      <c r="A196" s="189">
        <v>140414</v>
      </c>
      <c r="B196" s="147" t="s">
        <v>599</v>
      </c>
      <c r="C196" s="199">
        <v>214554245</v>
      </c>
      <c r="D196" s="147" t="s">
        <v>788</v>
      </c>
      <c r="E196" s="121">
        <v>243</v>
      </c>
      <c r="F196" s="120">
        <v>0</v>
      </c>
    </row>
    <row r="197" spans="1:6" ht="24">
      <c r="A197" s="189">
        <v>140414</v>
      </c>
      <c r="B197" s="147" t="s">
        <v>599</v>
      </c>
      <c r="C197" s="199">
        <v>214566045</v>
      </c>
      <c r="D197" s="147" t="s">
        <v>789</v>
      </c>
      <c r="E197" s="121">
        <v>194</v>
      </c>
      <c r="F197" s="120">
        <v>0</v>
      </c>
    </row>
    <row r="198" spans="1:6" ht="24">
      <c r="A198" s="189">
        <v>140414</v>
      </c>
      <c r="B198" s="147" t="s">
        <v>599</v>
      </c>
      <c r="C198" s="199">
        <v>214676246</v>
      </c>
      <c r="D198" s="147" t="s">
        <v>790</v>
      </c>
      <c r="E198" s="121">
        <v>144</v>
      </c>
      <c r="F198" s="120">
        <v>0</v>
      </c>
    </row>
    <row r="199" spans="1:6" ht="24">
      <c r="A199" s="189">
        <v>140414</v>
      </c>
      <c r="B199" s="147" t="s">
        <v>599</v>
      </c>
      <c r="C199" s="199">
        <v>214768147</v>
      </c>
      <c r="D199" s="147" t="s">
        <v>791</v>
      </c>
      <c r="E199" s="121">
        <v>32</v>
      </c>
      <c r="F199" s="120">
        <v>0</v>
      </c>
    </row>
    <row r="200" spans="1:6" ht="24">
      <c r="A200" s="189">
        <v>140414</v>
      </c>
      <c r="B200" s="147" t="s">
        <v>599</v>
      </c>
      <c r="C200" s="199">
        <v>214815248</v>
      </c>
      <c r="D200" s="147" t="s">
        <v>792</v>
      </c>
      <c r="E200" s="121">
        <v>110</v>
      </c>
      <c r="F200" s="120">
        <v>0</v>
      </c>
    </row>
    <row r="201" spans="1:6" ht="24">
      <c r="A201" s="189">
        <v>140414</v>
      </c>
      <c r="B201" s="147" t="s">
        <v>599</v>
      </c>
      <c r="C201" s="199">
        <v>214841548</v>
      </c>
      <c r="D201" s="147" t="s">
        <v>793</v>
      </c>
      <c r="E201" s="121">
        <v>116</v>
      </c>
      <c r="F201" s="120">
        <v>0</v>
      </c>
    </row>
    <row r="202" spans="1:6" ht="24">
      <c r="A202" s="189">
        <v>140414</v>
      </c>
      <c r="B202" s="147" t="s">
        <v>599</v>
      </c>
      <c r="C202" s="199">
        <v>214873148</v>
      </c>
      <c r="D202" s="147" t="s">
        <v>794</v>
      </c>
      <c r="E202" s="121">
        <v>6</v>
      </c>
      <c r="F202" s="120">
        <v>0</v>
      </c>
    </row>
    <row r="203" spans="1:6" ht="24">
      <c r="A203" s="189">
        <v>140414</v>
      </c>
      <c r="B203" s="147" t="s">
        <v>599</v>
      </c>
      <c r="C203" s="199">
        <v>214876248</v>
      </c>
      <c r="D203" s="147" t="s">
        <v>795</v>
      </c>
      <c r="E203" s="121">
        <v>86</v>
      </c>
      <c r="F203" s="120">
        <v>0</v>
      </c>
    </row>
    <row r="204" spans="1:6" ht="24">
      <c r="A204" s="189">
        <v>140414</v>
      </c>
      <c r="B204" s="147" t="s">
        <v>599</v>
      </c>
      <c r="C204" s="199">
        <v>214925649</v>
      </c>
      <c r="D204" s="147" t="s">
        <v>796</v>
      </c>
      <c r="E204" s="121">
        <v>198</v>
      </c>
      <c r="F204" s="120">
        <v>0</v>
      </c>
    </row>
    <row r="205" spans="1:6" ht="24">
      <c r="A205" s="189">
        <v>140414</v>
      </c>
      <c r="B205" s="147" t="s">
        <v>599</v>
      </c>
      <c r="C205" s="199">
        <v>214973349</v>
      </c>
      <c r="D205" s="147" t="s">
        <v>797</v>
      </c>
      <c r="E205" s="121">
        <v>666</v>
      </c>
      <c r="F205" s="120">
        <v>0</v>
      </c>
    </row>
    <row r="206" spans="1:6" ht="24">
      <c r="A206" s="189">
        <v>140414</v>
      </c>
      <c r="B206" s="147" t="s">
        <v>599</v>
      </c>
      <c r="C206" s="199">
        <v>214973449</v>
      </c>
      <c r="D206" s="147" t="s">
        <v>798</v>
      </c>
      <c r="E206" s="121">
        <v>32</v>
      </c>
      <c r="F206" s="120">
        <v>0</v>
      </c>
    </row>
    <row r="207" spans="1:6" ht="24">
      <c r="A207" s="189">
        <v>140414</v>
      </c>
      <c r="B207" s="147" t="s">
        <v>599</v>
      </c>
      <c r="C207" s="199">
        <v>215015550</v>
      </c>
      <c r="D207" s="147" t="s">
        <v>799</v>
      </c>
      <c r="E207" s="121">
        <v>54</v>
      </c>
      <c r="F207" s="120">
        <v>0</v>
      </c>
    </row>
    <row r="208" spans="1:6" ht="24">
      <c r="A208" s="189">
        <v>140414</v>
      </c>
      <c r="B208" s="147" t="s">
        <v>599</v>
      </c>
      <c r="C208" s="199">
        <v>215018150</v>
      </c>
      <c r="D208" s="147" t="s">
        <v>800</v>
      </c>
      <c r="E208" s="121">
        <v>176</v>
      </c>
      <c r="F208" s="120">
        <v>0</v>
      </c>
    </row>
    <row r="209" spans="1:6" ht="24">
      <c r="A209" s="189">
        <v>140414</v>
      </c>
      <c r="B209" s="147" t="s">
        <v>599</v>
      </c>
      <c r="C209" s="199">
        <v>215020550</v>
      </c>
      <c r="D209" s="147" t="s">
        <v>801</v>
      </c>
      <c r="E209" s="121">
        <v>210</v>
      </c>
      <c r="F209" s="120">
        <v>0</v>
      </c>
    </row>
    <row r="210" spans="1:6" ht="24">
      <c r="A210" s="189">
        <v>140414</v>
      </c>
      <c r="B210" s="147" t="s">
        <v>599</v>
      </c>
      <c r="C210" s="199">
        <v>215023350</v>
      </c>
      <c r="D210" s="147" t="s">
        <v>802</v>
      </c>
      <c r="E210" s="121">
        <v>42</v>
      </c>
      <c r="F210" s="120">
        <v>0</v>
      </c>
    </row>
    <row r="211" spans="1:6" ht="24">
      <c r="A211" s="189">
        <v>140414</v>
      </c>
      <c r="B211" s="147" t="s">
        <v>599</v>
      </c>
      <c r="C211" s="199">
        <v>215050150</v>
      </c>
      <c r="D211" s="147" t="s">
        <v>803</v>
      </c>
      <c r="E211" s="121">
        <v>37</v>
      </c>
      <c r="F211" s="120">
        <v>0</v>
      </c>
    </row>
    <row r="212" spans="1:6" ht="24">
      <c r="A212" s="189">
        <v>140414</v>
      </c>
      <c r="B212" s="147" t="s">
        <v>599</v>
      </c>
      <c r="C212" s="199">
        <v>215050450</v>
      </c>
      <c r="D212" s="147" t="s">
        <v>804</v>
      </c>
      <c r="E212" s="121">
        <v>20</v>
      </c>
      <c r="F212" s="120">
        <v>0</v>
      </c>
    </row>
    <row r="213" spans="1:6" ht="24">
      <c r="A213" s="189">
        <v>140414</v>
      </c>
      <c r="B213" s="147" t="s">
        <v>599</v>
      </c>
      <c r="C213" s="199">
        <v>215068250</v>
      </c>
      <c r="D213" s="147" t="s">
        <v>805</v>
      </c>
      <c r="E213" s="121">
        <v>110</v>
      </c>
      <c r="F213" s="120">
        <v>0</v>
      </c>
    </row>
    <row r="214" spans="1:6" ht="24">
      <c r="A214" s="189">
        <v>140414</v>
      </c>
      <c r="B214" s="147" t="s">
        <v>599</v>
      </c>
      <c r="C214" s="199">
        <v>215125151</v>
      </c>
      <c r="D214" s="147" t="s">
        <v>806</v>
      </c>
      <c r="E214" s="121">
        <v>396</v>
      </c>
      <c r="F214" s="120">
        <v>0</v>
      </c>
    </row>
    <row r="215" spans="1:6" ht="24">
      <c r="A215" s="189">
        <v>140414</v>
      </c>
      <c r="B215" s="147" t="s">
        <v>599</v>
      </c>
      <c r="C215" s="199">
        <v>215141551</v>
      </c>
      <c r="D215" s="147" t="s">
        <v>807</v>
      </c>
      <c r="E215" s="121">
        <v>45</v>
      </c>
      <c r="F215" s="120">
        <v>0</v>
      </c>
    </row>
    <row r="216" spans="1:6" ht="24">
      <c r="A216" s="189">
        <v>140414</v>
      </c>
      <c r="B216" s="147" t="s">
        <v>599</v>
      </c>
      <c r="C216" s="199">
        <v>215150251</v>
      </c>
      <c r="D216" s="147" t="s">
        <v>808</v>
      </c>
      <c r="E216" s="121">
        <v>267</v>
      </c>
      <c r="F216" s="120">
        <v>0</v>
      </c>
    </row>
    <row r="217" spans="1:6" ht="24">
      <c r="A217" s="189">
        <v>140414</v>
      </c>
      <c r="B217" s="147" t="s">
        <v>599</v>
      </c>
      <c r="C217" s="199">
        <v>215213052</v>
      </c>
      <c r="D217" s="147" t="s">
        <v>809</v>
      </c>
      <c r="E217" s="121">
        <v>17</v>
      </c>
      <c r="F217" s="120">
        <v>0</v>
      </c>
    </row>
    <row r="218" spans="1:6" ht="24">
      <c r="A218" s="189">
        <v>140414</v>
      </c>
      <c r="B218" s="147" t="s">
        <v>599</v>
      </c>
      <c r="C218" s="199">
        <v>215273152</v>
      </c>
      <c r="D218" s="147" t="s">
        <v>810</v>
      </c>
      <c r="E218" s="121">
        <v>99</v>
      </c>
      <c r="F218" s="120">
        <v>0</v>
      </c>
    </row>
    <row r="219" spans="1:6" ht="24">
      <c r="A219" s="189">
        <v>140414</v>
      </c>
      <c r="B219" s="147" t="s">
        <v>599</v>
      </c>
      <c r="C219" s="199">
        <v>215273352</v>
      </c>
      <c r="D219" s="147" t="s">
        <v>811</v>
      </c>
      <c r="E219" s="121">
        <v>162</v>
      </c>
      <c r="F219" s="120">
        <v>0</v>
      </c>
    </row>
    <row r="220" spans="1:6" ht="24">
      <c r="A220" s="189">
        <v>140414</v>
      </c>
      <c r="B220" s="147" t="s">
        <v>599</v>
      </c>
      <c r="C220" s="199">
        <v>215315753</v>
      </c>
      <c r="D220" s="147" t="s">
        <v>812</v>
      </c>
      <c r="E220" s="121">
        <v>20</v>
      </c>
      <c r="F220" s="120">
        <v>0</v>
      </c>
    </row>
    <row r="221" spans="1:6" ht="24">
      <c r="A221" s="189">
        <v>140414</v>
      </c>
      <c r="B221" s="147" t="s">
        <v>599</v>
      </c>
      <c r="C221" s="199">
        <v>215325053</v>
      </c>
      <c r="D221" s="147" t="s">
        <v>813</v>
      </c>
      <c r="E221" s="121">
        <v>284</v>
      </c>
      <c r="F221" s="120">
        <v>0</v>
      </c>
    </row>
    <row r="222" spans="1:6" ht="24">
      <c r="A222" s="189">
        <v>140414</v>
      </c>
      <c r="B222" s="147" t="s">
        <v>599</v>
      </c>
      <c r="C222" s="199">
        <v>215325653</v>
      </c>
      <c r="D222" s="147" t="s">
        <v>814</v>
      </c>
      <c r="E222" s="121">
        <v>139</v>
      </c>
      <c r="F222" s="120">
        <v>0</v>
      </c>
    </row>
    <row r="223" spans="1:6" ht="24">
      <c r="A223" s="189">
        <v>140414</v>
      </c>
      <c r="B223" s="147" t="s">
        <v>599</v>
      </c>
      <c r="C223" s="199">
        <v>215354553</v>
      </c>
      <c r="D223" s="147" t="s">
        <v>815</v>
      </c>
      <c r="E223" s="121">
        <v>9</v>
      </c>
      <c r="F223" s="120">
        <v>0</v>
      </c>
    </row>
    <row r="224" spans="1:6" ht="24">
      <c r="A224" s="189">
        <v>140414</v>
      </c>
      <c r="B224" s="147" t="s">
        <v>599</v>
      </c>
      <c r="C224" s="200" t="s">
        <v>816</v>
      </c>
      <c r="D224" s="147" t="s">
        <v>817</v>
      </c>
      <c r="E224" s="121">
        <v>30</v>
      </c>
      <c r="F224" s="120">
        <v>0</v>
      </c>
    </row>
    <row r="225" spans="1:6" ht="24">
      <c r="A225" s="189">
        <v>140414</v>
      </c>
      <c r="B225" s="147" t="s">
        <v>599</v>
      </c>
      <c r="C225" s="199">
        <v>215425154</v>
      </c>
      <c r="D225" s="147" t="s">
        <v>818</v>
      </c>
      <c r="E225" s="121">
        <v>167</v>
      </c>
      <c r="F225" s="120">
        <v>0</v>
      </c>
    </row>
    <row r="226" spans="1:6" ht="24">
      <c r="A226" s="189">
        <v>140414</v>
      </c>
      <c r="B226" s="147" t="s">
        <v>599</v>
      </c>
      <c r="C226" s="199">
        <v>215425754</v>
      </c>
      <c r="D226" s="147" t="s">
        <v>819</v>
      </c>
      <c r="E226" s="121">
        <v>354</v>
      </c>
      <c r="F226" s="120">
        <v>0</v>
      </c>
    </row>
    <row r="227" spans="1:6" ht="24">
      <c r="A227" s="189">
        <v>140414</v>
      </c>
      <c r="B227" s="147" t="s">
        <v>599</v>
      </c>
      <c r="C227" s="199">
        <v>215476054</v>
      </c>
      <c r="D227" s="147" t="s">
        <v>820</v>
      </c>
      <c r="E227" s="121">
        <v>420</v>
      </c>
      <c r="F227" s="120">
        <v>0</v>
      </c>
    </row>
    <row r="228" spans="1:6" ht="24">
      <c r="A228" s="189">
        <v>140414</v>
      </c>
      <c r="B228" s="147" t="s">
        <v>599</v>
      </c>
      <c r="C228" s="201">
        <v>215505055</v>
      </c>
      <c r="D228" s="147" t="s">
        <v>821</v>
      </c>
      <c r="E228" s="121">
        <v>131</v>
      </c>
      <c r="F228" s="120">
        <v>0</v>
      </c>
    </row>
    <row r="229" spans="1:6" ht="24">
      <c r="A229" s="189">
        <v>140414</v>
      </c>
      <c r="B229" s="147" t="s">
        <v>599</v>
      </c>
      <c r="C229" s="199">
        <v>215519355</v>
      </c>
      <c r="D229" s="147" t="s">
        <v>822</v>
      </c>
      <c r="E229" s="121">
        <v>178</v>
      </c>
      <c r="F229" s="120">
        <v>0</v>
      </c>
    </row>
    <row r="230" spans="1:6" ht="24">
      <c r="A230" s="189">
        <v>140414</v>
      </c>
      <c r="B230" s="147" t="s">
        <v>599</v>
      </c>
      <c r="C230" s="199">
        <v>215523555</v>
      </c>
      <c r="D230" s="147" t="s">
        <v>823</v>
      </c>
      <c r="E230" s="121">
        <v>859</v>
      </c>
      <c r="F230" s="120">
        <v>0</v>
      </c>
    </row>
    <row r="231" spans="1:6" ht="24">
      <c r="A231" s="189">
        <v>140414</v>
      </c>
      <c r="B231" s="147" t="s">
        <v>599</v>
      </c>
      <c r="C231" s="199">
        <v>215568855</v>
      </c>
      <c r="D231" s="147" t="s">
        <v>824</v>
      </c>
      <c r="E231" s="121">
        <v>156</v>
      </c>
      <c r="F231" s="120">
        <v>0</v>
      </c>
    </row>
    <row r="232" spans="1:6" ht="24">
      <c r="A232" s="189">
        <v>140414</v>
      </c>
      <c r="B232" s="147" t="s">
        <v>599</v>
      </c>
      <c r="C232" s="199">
        <v>215618256</v>
      </c>
      <c r="D232" s="147" t="s">
        <v>825</v>
      </c>
      <c r="E232" s="121">
        <v>21</v>
      </c>
      <c r="F232" s="120">
        <v>0</v>
      </c>
    </row>
    <row r="233" spans="1:6" ht="24">
      <c r="A233" s="189">
        <v>140414</v>
      </c>
      <c r="B233" s="147" t="s">
        <v>599</v>
      </c>
      <c r="C233" s="199">
        <v>215619256</v>
      </c>
      <c r="D233" s="147" t="s">
        <v>826</v>
      </c>
      <c r="E233" s="121">
        <v>321</v>
      </c>
      <c r="F233" s="120">
        <v>0</v>
      </c>
    </row>
    <row r="234" spans="1:6" ht="24">
      <c r="A234" s="189">
        <v>140414</v>
      </c>
      <c r="B234" s="147" t="s">
        <v>599</v>
      </c>
      <c r="C234" s="199">
        <v>215666456</v>
      </c>
      <c r="D234" s="147" t="s">
        <v>827</v>
      </c>
      <c r="E234" s="121">
        <v>24</v>
      </c>
      <c r="F234" s="120">
        <v>0</v>
      </c>
    </row>
    <row r="235" spans="1:6" ht="24">
      <c r="A235" s="189">
        <v>140414</v>
      </c>
      <c r="B235" s="147" t="s">
        <v>599</v>
      </c>
      <c r="C235" s="199">
        <v>215713657</v>
      </c>
      <c r="D235" s="147" t="s">
        <v>828</v>
      </c>
      <c r="E235" s="121">
        <v>9</v>
      </c>
      <c r="F235" s="120">
        <v>0</v>
      </c>
    </row>
    <row r="236" spans="1:6" ht="24">
      <c r="A236" s="189">
        <v>140414</v>
      </c>
      <c r="B236" s="147" t="s">
        <v>599</v>
      </c>
      <c r="C236" s="199">
        <v>215741357</v>
      </c>
      <c r="D236" s="147" t="s">
        <v>829</v>
      </c>
      <c r="E236" s="121">
        <v>112</v>
      </c>
      <c r="F236" s="120">
        <v>0</v>
      </c>
    </row>
    <row r="237" spans="1:6" ht="24">
      <c r="A237" s="189">
        <v>140414</v>
      </c>
      <c r="B237" s="147" t="s">
        <v>599</v>
      </c>
      <c r="C237" s="199">
        <v>215808558</v>
      </c>
      <c r="D237" s="147" t="s">
        <v>830</v>
      </c>
      <c r="E237" s="121">
        <v>111</v>
      </c>
      <c r="F237" s="120">
        <v>0</v>
      </c>
    </row>
    <row r="238" spans="1:6" ht="24">
      <c r="A238" s="189">
        <v>140414</v>
      </c>
      <c r="B238" s="147" t="s">
        <v>599</v>
      </c>
      <c r="C238" s="199">
        <v>215808758</v>
      </c>
      <c r="D238" s="147" t="s">
        <v>831</v>
      </c>
      <c r="E238" s="121">
        <v>40</v>
      </c>
      <c r="F238" s="120">
        <v>0</v>
      </c>
    </row>
    <row r="239" spans="1:6" ht="24">
      <c r="A239" s="189">
        <v>140414</v>
      </c>
      <c r="B239" s="147" t="s">
        <v>599</v>
      </c>
      <c r="C239" s="199">
        <v>215825658</v>
      </c>
      <c r="D239" s="147" t="s">
        <v>832</v>
      </c>
      <c r="E239" s="121">
        <v>226</v>
      </c>
      <c r="F239" s="120">
        <v>0</v>
      </c>
    </row>
    <row r="240" spans="1:6" ht="24">
      <c r="A240" s="189">
        <v>140414</v>
      </c>
      <c r="B240" s="147" t="s">
        <v>599</v>
      </c>
      <c r="C240" s="199">
        <v>215825758</v>
      </c>
      <c r="D240" s="147" t="s">
        <v>833</v>
      </c>
      <c r="E240" s="121">
        <v>60</v>
      </c>
      <c r="F240" s="120">
        <v>0</v>
      </c>
    </row>
    <row r="241" spans="1:6" ht="24">
      <c r="A241" s="189">
        <v>140414</v>
      </c>
      <c r="B241" s="147" t="s">
        <v>599</v>
      </c>
      <c r="C241" s="199">
        <v>215915759</v>
      </c>
      <c r="D241" s="147" t="s">
        <v>834</v>
      </c>
      <c r="E241" s="121">
        <v>129</v>
      </c>
      <c r="F241" s="120">
        <v>0</v>
      </c>
    </row>
    <row r="242" spans="1:6" ht="24">
      <c r="A242" s="189">
        <v>140414</v>
      </c>
      <c r="B242" s="147" t="s">
        <v>599</v>
      </c>
      <c r="C242" s="199">
        <v>216015660</v>
      </c>
      <c r="D242" s="147" t="s">
        <v>835</v>
      </c>
      <c r="E242" s="121">
        <v>118</v>
      </c>
      <c r="F242" s="120">
        <v>0</v>
      </c>
    </row>
    <row r="243" spans="1:6" ht="24">
      <c r="A243" s="189">
        <v>140414</v>
      </c>
      <c r="B243" s="147" t="s">
        <v>599</v>
      </c>
      <c r="C243" s="199">
        <v>216018460</v>
      </c>
      <c r="D243" s="147" t="s">
        <v>836</v>
      </c>
      <c r="E243" s="121">
        <v>32</v>
      </c>
      <c r="F243" s="120">
        <v>0</v>
      </c>
    </row>
    <row r="244" spans="1:6" ht="24">
      <c r="A244" s="189">
        <v>140414</v>
      </c>
      <c r="B244" s="147" t="s">
        <v>599</v>
      </c>
      <c r="C244" s="199">
        <v>216019760</v>
      </c>
      <c r="D244" s="147" t="s">
        <v>837</v>
      </c>
      <c r="E244" s="121">
        <v>238</v>
      </c>
      <c r="F244" s="120">
        <v>0</v>
      </c>
    </row>
    <row r="245" spans="1:6" ht="24">
      <c r="A245" s="189">
        <v>140414</v>
      </c>
      <c r="B245" s="147" t="s">
        <v>599</v>
      </c>
      <c r="C245" s="199">
        <v>216023660</v>
      </c>
      <c r="D245" s="147" t="s">
        <v>838</v>
      </c>
      <c r="E245" s="121">
        <v>68</v>
      </c>
      <c r="F245" s="120">
        <v>0</v>
      </c>
    </row>
    <row r="246" spans="1:6" ht="24">
      <c r="A246" s="189">
        <v>140414</v>
      </c>
      <c r="B246" s="147" t="s">
        <v>599</v>
      </c>
      <c r="C246" s="199">
        <v>216025260</v>
      </c>
      <c r="D246" s="147" t="s">
        <v>839</v>
      </c>
      <c r="E246" s="121">
        <v>8</v>
      </c>
      <c r="F246" s="120">
        <v>0</v>
      </c>
    </row>
    <row r="247" spans="1:6" ht="24">
      <c r="A247" s="189">
        <v>140414</v>
      </c>
      <c r="B247" s="147" t="s">
        <v>599</v>
      </c>
      <c r="C247" s="199">
        <v>216027660</v>
      </c>
      <c r="D247" s="147" t="s">
        <v>840</v>
      </c>
      <c r="E247" s="121">
        <v>109</v>
      </c>
      <c r="F247" s="120">
        <v>0</v>
      </c>
    </row>
    <row r="248" spans="1:6" ht="24">
      <c r="A248" s="189">
        <v>140414</v>
      </c>
      <c r="B248" s="147" t="s">
        <v>599</v>
      </c>
      <c r="C248" s="199">
        <v>216041660</v>
      </c>
      <c r="D248" s="147" t="s">
        <v>841</v>
      </c>
      <c r="E248" s="121">
        <v>99</v>
      </c>
      <c r="F248" s="120">
        <v>0</v>
      </c>
    </row>
    <row r="249" spans="1:6" ht="24">
      <c r="A249" s="189">
        <v>140414</v>
      </c>
      <c r="B249" s="147" t="s">
        <v>599</v>
      </c>
      <c r="C249" s="199">
        <v>216047660</v>
      </c>
      <c r="D249" s="147" t="s">
        <v>842</v>
      </c>
      <c r="E249" s="121">
        <v>156</v>
      </c>
      <c r="F249" s="120">
        <v>0</v>
      </c>
    </row>
    <row r="250" spans="1:6" ht="24">
      <c r="A250" s="189">
        <v>140414</v>
      </c>
      <c r="B250" s="147" t="s">
        <v>599</v>
      </c>
      <c r="C250" s="199">
        <v>216127361</v>
      </c>
      <c r="D250" s="147" t="s">
        <v>843</v>
      </c>
      <c r="E250" s="121">
        <v>210</v>
      </c>
      <c r="F250" s="120">
        <v>0</v>
      </c>
    </row>
    <row r="251" spans="1:6" ht="24">
      <c r="A251" s="189">
        <v>140414</v>
      </c>
      <c r="B251" s="147" t="s">
        <v>599</v>
      </c>
      <c r="C251" s="199">
        <v>216168861</v>
      </c>
      <c r="D251" s="147" t="s">
        <v>844</v>
      </c>
      <c r="E251" s="121">
        <v>462</v>
      </c>
      <c r="F251" s="120">
        <v>0</v>
      </c>
    </row>
    <row r="252" spans="1:6" ht="24">
      <c r="A252" s="189">
        <v>140414</v>
      </c>
      <c r="B252" s="147" t="s">
        <v>599</v>
      </c>
      <c r="C252" s="199">
        <v>216223162</v>
      </c>
      <c r="D252" s="147" t="s">
        <v>845</v>
      </c>
      <c r="E252" s="121">
        <v>56</v>
      </c>
      <c r="F252" s="120">
        <v>0</v>
      </c>
    </row>
    <row r="253" spans="1:6" ht="24">
      <c r="A253" s="189">
        <v>140414</v>
      </c>
      <c r="B253" s="147" t="s">
        <v>599</v>
      </c>
      <c r="C253" s="199">
        <v>216225862</v>
      </c>
      <c r="D253" s="147" t="s">
        <v>846</v>
      </c>
      <c r="E253" s="121">
        <v>129</v>
      </c>
      <c r="F253" s="120">
        <v>0</v>
      </c>
    </row>
    <row r="254" spans="1:6" ht="24">
      <c r="A254" s="189">
        <v>140414</v>
      </c>
      <c r="B254" s="147" t="s">
        <v>599</v>
      </c>
      <c r="C254" s="199">
        <v>216285162</v>
      </c>
      <c r="D254" s="147" t="s">
        <v>847</v>
      </c>
      <c r="E254" s="121">
        <v>483</v>
      </c>
      <c r="F254" s="120">
        <v>0</v>
      </c>
    </row>
    <row r="255" spans="1:6" ht="24">
      <c r="A255" s="189">
        <v>140414</v>
      </c>
      <c r="B255" s="147" t="s">
        <v>599</v>
      </c>
      <c r="C255" s="199">
        <v>216373563</v>
      </c>
      <c r="D255" s="147" t="s">
        <v>848</v>
      </c>
      <c r="E255" s="121">
        <v>174</v>
      </c>
      <c r="F255" s="120">
        <v>0</v>
      </c>
    </row>
    <row r="256" spans="1:6" ht="24">
      <c r="A256" s="189">
        <v>140414</v>
      </c>
      <c r="B256" s="147" t="s">
        <v>599</v>
      </c>
      <c r="C256" s="199">
        <v>216586865</v>
      </c>
      <c r="D256" s="147" t="s">
        <v>849</v>
      </c>
      <c r="E256" s="121">
        <v>409</v>
      </c>
      <c r="F256" s="120">
        <v>0</v>
      </c>
    </row>
    <row r="257" spans="1:6" ht="24">
      <c r="A257" s="189">
        <v>140414</v>
      </c>
      <c r="B257" s="147" t="s">
        <v>599</v>
      </c>
      <c r="C257" s="199">
        <v>216715367</v>
      </c>
      <c r="D257" s="147" t="s">
        <v>850</v>
      </c>
      <c r="E257" s="121">
        <v>26</v>
      </c>
      <c r="F257" s="120">
        <v>0</v>
      </c>
    </row>
    <row r="258" spans="1:6" ht="24">
      <c r="A258" s="189">
        <v>140414</v>
      </c>
      <c r="B258" s="147" t="s">
        <v>599</v>
      </c>
      <c r="C258" s="199">
        <v>216815368</v>
      </c>
      <c r="D258" s="147" t="s">
        <v>851</v>
      </c>
      <c r="E258" s="121">
        <v>128</v>
      </c>
      <c r="F258" s="120">
        <v>0</v>
      </c>
    </row>
    <row r="259" spans="1:6" ht="24">
      <c r="A259" s="189">
        <v>140414</v>
      </c>
      <c r="B259" s="147" t="s">
        <v>599</v>
      </c>
      <c r="C259" s="199">
        <v>216823068</v>
      </c>
      <c r="D259" s="147" t="s">
        <v>852</v>
      </c>
      <c r="E259" s="121">
        <v>61</v>
      </c>
      <c r="F259" s="120">
        <v>0</v>
      </c>
    </row>
    <row r="260" spans="1:6" ht="24">
      <c r="A260" s="189">
        <v>140414</v>
      </c>
      <c r="B260" s="147" t="s">
        <v>599</v>
      </c>
      <c r="C260" s="199">
        <v>216825168</v>
      </c>
      <c r="D260" s="147" t="s">
        <v>853</v>
      </c>
      <c r="E260" s="121">
        <v>322</v>
      </c>
      <c r="F260" s="120">
        <v>0</v>
      </c>
    </row>
    <row r="261" spans="1:6" ht="24">
      <c r="A261" s="189">
        <v>140414</v>
      </c>
      <c r="B261" s="147" t="s">
        <v>599</v>
      </c>
      <c r="C261" s="199">
        <v>216825368</v>
      </c>
      <c r="D261" s="147" t="s">
        <v>854</v>
      </c>
      <c r="E261" s="121">
        <v>123</v>
      </c>
      <c r="F261" s="120">
        <v>0</v>
      </c>
    </row>
    <row r="262" spans="1:6" ht="24">
      <c r="A262" s="189">
        <v>140414</v>
      </c>
      <c r="B262" s="147" t="s">
        <v>599</v>
      </c>
      <c r="C262" s="199">
        <v>216850568</v>
      </c>
      <c r="D262" s="147" t="s">
        <v>855</v>
      </c>
      <c r="E262" s="121">
        <v>268</v>
      </c>
      <c r="F262" s="120">
        <v>0</v>
      </c>
    </row>
    <row r="263" spans="1:6" ht="24">
      <c r="A263" s="189">
        <v>140414</v>
      </c>
      <c r="B263" s="147" t="s">
        <v>599</v>
      </c>
      <c r="C263" s="199">
        <v>216968169</v>
      </c>
      <c r="D263" s="147" t="s">
        <v>856</v>
      </c>
      <c r="E263" s="121">
        <v>92</v>
      </c>
      <c r="F263" s="120">
        <v>0</v>
      </c>
    </row>
    <row r="264" spans="1:6" ht="24">
      <c r="A264" s="189">
        <v>140414</v>
      </c>
      <c r="B264" s="147" t="s">
        <v>599</v>
      </c>
      <c r="C264" s="199">
        <v>216968669</v>
      </c>
      <c r="D264" s="147" t="s">
        <v>857</v>
      </c>
      <c r="E264" s="121">
        <v>255</v>
      </c>
      <c r="F264" s="120">
        <v>0</v>
      </c>
    </row>
    <row r="265" spans="1:6" ht="24">
      <c r="A265" s="189">
        <v>140414</v>
      </c>
      <c r="B265" s="147" t="s">
        <v>599</v>
      </c>
      <c r="C265" s="199">
        <v>217005670</v>
      </c>
      <c r="D265" s="147" t="s">
        <v>858</v>
      </c>
      <c r="E265" s="121">
        <v>332</v>
      </c>
      <c r="F265" s="120">
        <v>0</v>
      </c>
    </row>
    <row r="266" spans="1:6" ht="24">
      <c r="A266" s="189">
        <v>140414</v>
      </c>
      <c r="B266" s="147" t="s">
        <v>599</v>
      </c>
      <c r="C266" s="199">
        <v>217008770</v>
      </c>
      <c r="D266" s="147" t="s">
        <v>859</v>
      </c>
      <c r="E266" s="121">
        <v>27</v>
      </c>
      <c r="F266" s="120">
        <v>0</v>
      </c>
    </row>
    <row r="267" spans="1:6" ht="24">
      <c r="A267" s="189">
        <v>140414</v>
      </c>
      <c r="B267" s="147" t="s">
        <v>599</v>
      </c>
      <c r="C267" s="199">
        <v>217050270</v>
      </c>
      <c r="D267" s="147" t="s">
        <v>860</v>
      </c>
      <c r="E267" s="121">
        <v>24</v>
      </c>
      <c r="F267" s="120">
        <v>0</v>
      </c>
    </row>
    <row r="268" spans="1:6" ht="24">
      <c r="A268" s="189">
        <v>140414</v>
      </c>
      <c r="B268" s="147" t="s">
        <v>599</v>
      </c>
      <c r="C268" s="199">
        <v>217050370</v>
      </c>
      <c r="D268" s="147" t="s">
        <v>861</v>
      </c>
      <c r="E268" s="121">
        <v>19</v>
      </c>
      <c r="F268" s="120">
        <v>0</v>
      </c>
    </row>
    <row r="269" spans="1:6" ht="24">
      <c r="A269" s="189">
        <v>140414</v>
      </c>
      <c r="B269" s="147" t="s">
        <v>599</v>
      </c>
      <c r="C269" s="199">
        <v>217054670</v>
      </c>
      <c r="D269" s="147" t="s">
        <v>862</v>
      </c>
      <c r="E269" s="121">
        <v>21</v>
      </c>
      <c r="F269" s="120">
        <v>0</v>
      </c>
    </row>
    <row r="270" spans="1:6" ht="24">
      <c r="A270" s="189">
        <v>140414</v>
      </c>
      <c r="B270" s="147" t="s">
        <v>599</v>
      </c>
      <c r="C270" s="199">
        <v>217066170</v>
      </c>
      <c r="D270" s="147" t="s">
        <v>863</v>
      </c>
      <c r="E270" s="121">
        <v>621</v>
      </c>
      <c r="F270" s="120">
        <v>0</v>
      </c>
    </row>
    <row r="271" spans="1:6" ht="24">
      <c r="A271" s="189">
        <v>140414</v>
      </c>
      <c r="B271" s="147" t="s">
        <v>599</v>
      </c>
      <c r="C271" s="199">
        <v>217073270</v>
      </c>
      <c r="D271" s="147" t="s">
        <v>864</v>
      </c>
      <c r="E271" s="121">
        <v>26</v>
      </c>
      <c r="F271" s="120">
        <v>0</v>
      </c>
    </row>
    <row r="272" spans="1:6" ht="24">
      <c r="A272" s="189">
        <v>140414</v>
      </c>
      <c r="B272" s="147" t="s">
        <v>599</v>
      </c>
      <c r="C272" s="199">
        <v>217073770</v>
      </c>
      <c r="D272" s="147" t="s">
        <v>865</v>
      </c>
      <c r="E272" s="121">
        <v>24</v>
      </c>
      <c r="F272" s="120">
        <v>0</v>
      </c>
    </row>
    <row r="273" spans="1:6" ht="24">
      <c r="A273" s="189">
        <v>140414</v>
      </c>
      <c r="B273" s="147" t="s">
        <v>599</v>
      </c>
      <c r="C273" s="199">
        <v>217073870</v>
      </c>
      <c r="D273" s="147" t="s">
        <v>866</v>
      </c>
      <c r="E273" s="121">
        <v>117</v>
      </c>
      <c r="F273" s="120">
        <v>0</v>
      </c>
    </row>
    <row r="274" spans="1:6" ht="24">
      <c r="A274" s="189">
        <v>140414</v>
      </c>
      <c r="B274" s="147" t="s">
        <v>599</v>
      </c>
      <c r="C274" s="199">
        <v>217170771</v>
      </c>
      <c r="D274" s="147" t="s">
        <v>867</v>
      </c>
      <c r="E274" s="121">
        <v>8</v>
      </c>
      <c r="F274" s="120">
        <v>0</v>
      </c>
    </row>
    <row r="275" spans="1:6" ht="24">
      <c r="A275" s="189">
        <v>140414</v>
      </c>
      <c r="B275" s="147" t="s">
        <v>599</v>
      </c>
      <c r="C275" s="199">
        <v>217173671</v>
      </c>
      <c r="D275" s="147" t="s">
        <v>868</v>
      </c>
      <c r="E275" s="121">
        <v>9</v>
      </c>
      <c r="F275" s="120">
        <v>0</v>
      </c>
    </row>
    <row r="276" spans="1:6" ht="24">
      <c r="A276" s="189">
        <v>140414</v>
      </c>
      <c r="B276" s="147" t="s">
        <v>599</v>
      </c>
      <c r="C276" s="199">
        <v>217215172</v>
      </c>
      <c r="D276" s="147" t="s">
        <v>869</v>
      </c>
      <c r="E276" s="121">
        <v>131</v>
      </c>
      <c r="F276" s="120">
        <v>0</v>
      </c>
    </row>
    <row r="277" spans="1:6" ht="24">
      <c r="A277" s="189">
        <v>140414</v>
      </c>
      <c r="B277" s="147" t="s">
        <v>599</v>
      </c>
      <c r="C277" s="199">
        <v>217215572</v>
      </c>
      <c r="D277" s="147" t="s">
        <v>870</v>
      </c>
      <c r="E277" s="121">
        <v>76</v>
      </c>
      <c r="F277" s="120">
        <v>0</v>
      </c>
    </row>
    <row r="278" spans="1:6" ht="24">
      <c r="A278" s="189">
        <v>140414</v>
      </c>
      <c r="B278" s="147" t="s">
        <v>599</v>
      </c>
      <c r="C278" s="199">
        <v>217225372</v>
      </c>
      <c r="D278" s="147" t="s">
        <v>871</v>
      </c>
      <c r="E278" s="121">
        <v>116</v>
      </c>
      <c r="F278" s="120">
        <v>0</v>
      </c>
    </row>
    <row r="279" spans="1:6" ht="24">
      <c r="A279" s="189">
        <v>140414</v>
      </c>
      <c r="B279" s="147" t="s">
        <v>599</v>
      </c>
      <c r="C279" s="199">
        <v>217225572</v>
      </c>
      <c r="D279" s="147" t="s">
        <v>872</v>
      </c>
      <c r="E279" s="121">
        <v>40</v>
      </c>
      <c r="F279" s="120">
        <v>0</v>
      </c>
    </row>
    <row r="280" spans="1:6" ht="24">
      <c r="A280" s="189">
        <v>140414</v>
      </c>
      <c r="B280" s="147" t="s">
        <v>599</v>
      </c>
      <c r="C280" s="199">
        <v>217225772</v>
      </c>
      <c r="D280" s="147" t="s">
        <v>873</v>
      </c>
      <c r="E280" s="121">
        <v>301</v>
      </c>
      <c r="F280" s="120">
        <v>0</v>
      </c>
    </row>
    <row r="281" spans="1:6" ht="24">
      <c r="A281" s="189">
        <v>140414</v>
      </c>
      <c r="B281" s="147" t="s">
        <v>599</v>
      </c>
      <c r="C281" s="199">
        <v>217241872</v>
      </c>
      <c r="D281" s="147" t="s">
        <v>874</v>
      </c>
      <c r="E281" s="121">
        <v>155</v>
      </c>
      <c r="F281" s="120">
        <v>0</v>
      </c>
    </row>
    <row r="282" spans="1:6" ht="24">
      <c r="A282" s="189">
        <v>140414</v>
      </c>
      <c r="B282" s="147" t="s">
        <v>599</v>
      </c>
      <c r="C282" s="199">
        <v>217254172</v>
      </c>
      <c r="D282" s="147" t="s">
        <v>875</v>
      </c>
      <c r="E282" s="121">
        <v>183</v>
      </c>
      <c r="F282" s="120">
        <v>0</v>
      </c>
    </row>
    <row r="283" spans="1:6" ht="24">
      <c r="A283" s="189">
        <v>140414</v>
      </c>
      <c r="B283" s="147" t="s">
        <v>599</v>
      </c>
      <c r="C283" s="199">
        <v>217266572</v>
      </c>
      <c r="D283" s="147" t="s">
        <v>876</v>
      </c>
      <c r="E283" s="121">
        <v>162</v>
      </c>
      <c r="F283" s="120">
        <v>0</v>
      </c>
    </row>
    <row r="284" spans="1:6" ht="24">
      <c r="A284" s="189">
        <v>140414</v>
      </c>
      <c r="B284" s="147" t="s">
        <v>599</v>
      </c>
      <c r="C284" s="199">
        <v>217268872</v>
      </c>
      <c r="D284" s="147" t="s">
        <v>877</v>
      </c>
      <c r="E284" s="121">
        <v>26</v>
      </c>
      <c r="F284" s="120">
        <v>0</v>
      </c>
    </row>
    <row r="285" spans="1:6" ht="24">
      <c r="A285" s="189">
        <v>140414</v>
      </c>
      <c r="B285" s="147" t="s">
        <v>599</v>
      </c>
      <c r="C285" s="199">
        <v>217305873</v>
      </c>
      <c r="D285" s="147" t="s">
        <v>878</v>
      </c>
      <c r="E285" s="121">
        <v>149</v>
      </c>
      <c r="F285" s="120">
        <v>0</v>
      </c>
    </row>
    <row r="286" spans="1:6" ht="24">
      <c r="A286" s="189">
        <v>140414</v>
      </c>
      <c r="B286" s="147" t="s">
        <v>599</v>
      </c>
      <c r="C286" s="199">
        <v>217315673</v>
      </c>
      <c r="D286" s="147" t="s">
        <v>879</v>
      </c>
      <c r="E286" s="121">
        <v>164</v>
      </c>
      <c r="F286" s="120">
        <v>0</v>
      </c>
    </row>
    <row r="287" spans="1:6" ht="24">
      <c r="A287" s="189">
        <v>140414</v>
      </c>
      <c r="B287" s="147" t="s">
        <v>599</v>
      </c>
      <c r="C287" s="199">
        <v>217319473</v>
      </c>
      <c r="D287" s="147" t="s">
        <v>880</v>
      </c>
      <c r="E287" s="121">
        <v>668</v>
      </c>
      <c r="F287" s="120">
        <v>0</v>
      </c>
    </row>
    <row r="288" spans="1:6" ht="24">
      <c r="A288" s="189">
        <v>140414</v>
      </c>
      <c r="B288" s="147" t="s">
        <v>599</v>
      </c>
      <c r="C288" s="199">
        <v>217325473</v>
      </c>
      <c r="D288" s="147" t="s">
        <v>881</v>
      </c>
      <c r="E288" s="121">
        <v>253</v>
      </c>
      <c r="F288" s="120">
        <v>0</v>
      </c>
    </row>
    <row r="289" spans="1:6" ht="24">
      <c r="A289" s="189">
        <v>140414</v>
      </c>
      <c r="B289" s="147" t="s">
        <v>599</v>
      </c>
      <c r="C289" s="199">
        <v>217368573</v>
      </c>
      <c r="D289" s="147" t="s">
        <v>882</v>
      </c>
      <c r="E289" s="121">
        <v>151</v>
      </c>
      <c r="F289" s="120">
        <v>0</v>
      </c>
    </row>
    <row r="290" spans="1:6" ht="24">
      <c r="A290" s="189">
        <v>140414</v>
      </c>
      <c r="B290" s="147" t="s">
        <v>599</v>
      </c>
      <c r="C290" s="199">
        <v>217399773</v>
      </c>
      <c r="D290" s="147" t="s">
        <v>883</v>
      </c>
      <c r="E290" s="121">
        <v>250</v>
      </c>
      <c r="F290" s="120">
        <v>0</v>
      </c>
    </row>
    <row r="291" spans="1:6" ht="24">
      <c r="A291" s="189">
        <v>140414</v>
      </c>
      <c r="B291" s="147" t="s">
        <v>599</v>
      </c>
      <c r="C291" s="199">
        <v>217415774</v>
      </c>
      <c r="D291" s="147" t="s">
        <v>884</v>
      </c>
      <c r="E291" s="121">
        <v>87</v>
      </c>
      <c r="F291" s="120">
        <v>0</v>
      </c>
    </row>
    <row r="292" spans="1:6" ht="24">
      <c r="A292" s="189">
        <v>140414</v>
      </c>
      <c r="B292" s="147" t="s">
        <v>599</v>
      </c>
      <c r="C292" s="199">
        <v>217454874</v>
      </c>
      <c r="D292" s="147" t="s">
        <v>885</v>
      </c>
      <c r="E292" s="121">
        <v>552</v>
      </c>
      <c r="F292" s="120">
        <v>0</v>
      </c>
    </row>
    <row r="293" spans="1:6" ht="24">
      <c r="A293" s="189">
        <v>140414</v>
      </c>
      <c r="B293" s="147" t="s">
        <v>599</v>
      </c>
      <c r="C293" s="199">
        <v>217519075</v>
      </c>
      <c r="D293" s="147" t="s">
        <v>886</v>
      </c>
      <c r="E293" s="121">
        <v>266</v>
      </c>
      <c r="F293" s="120">
        <v>0</v>
      </c>
    </row>
    <row r="294" spans="1:6" ht="24">
      <c r="A294" s="189">
        <v>140414</v>
      </c>
      <c r="B294" s="147" t="s">
        <v>599</v>
      </c>
      <c r="C294" s="199">
        <v>217520175</v>
      </c>
      <c r="D294" s="147" t="s">
        <v>887</v>
      </c>
      <c r="E294" s="121">
        <v>150</v>
      </c>
      <c r="F294" s="120">
        <v>0</v>
      </c>
    </row>
    <row r="295" spans="1:6" ht="24">
      <c r="A295" s="189">
        <v>140414</v>
      </c>
      <c r="B295" s="147" t="s">
        <v>599</v>
      </c>
      <c r="C295" s="199">
        <v>217525875</v>
      </c>
      <c r="D295" s="147" t="s">
        <v>888</v>
      </c>
      <c r="E295" s="121">
        <v>7</v>
      </c>
      <c r="F295" s="120">
        <v>0</v>
      </c>
    </row>
    <row r="296" spans="1:6" ht="24">
      <c r="A296" s="189">
        <v>140414</v>
      </c>
      <c r="B296" s="147" t="s">
        <v>599</v>
      </c>
      <c r="C296" s="199">
        <v>217566075</v>
      </c>
      <c r="D296" s="147" t="s">
        <v>889</v>
      </c>
      <c r="E296" s="121">
        <v>193</v>
      </c>
      <c r="F296" s="120">
        <v>0</v>
      </c>
    </row>
    <row r="297" spans="1:6" ht="24">
      <c r="A297" s="189">
        <v>140414</v>
      </c>
      <c r="B297" s="147" t="s">
        <v>599</v>
      </c>
      <c r="C297" s="199">
        <v>217605576</v>
      </c>
      <c r="D297" s="147" t="s">
        <v>890</v>
      </c>
      <c r="E297" s="121">
        <v>280</v>
      </c>
      <c r="F297" s="120">
        <v>0</v>
      </c>
    </row>
    <row r="298" spans="1:6" ht="24">
      <c r="A298" s="189">
        <v>140414</v>
      </c>
      <c r="B298" s="147" t="s">
        <v>599</v>
      </c>
      <c r="C298" s="199">
        <v>217668276</v>
      </c>
      <c r="D298" s="147" t="s">
        <v>891</v>
      </c>
      <c r="E298" s="121">
        <v>156</v>
      </c>
      <c r="F298" s="120">
        <v>0</v>
      </c>
    </row>
    <row r="299" spans="1:6" ht="24">
      <c r="A299" s="189">
        <v>140414</v>
      </c>
      <c r="B299" s="147" t="s">
        <v>599</v>
      </c>
      <c r="C299" s="199">
        <v>217715377</v>
      </c>
      <c r="D299" s="147" t="s">
        <v>892</v>
      </c>
      <c r="E299" s="121">
        <v>131</v>
      </c>
      <c r="F299" s="120">
        <v>0</v>
      </c>
    </row>
    <row r="300" spans="1:6" ht="24">
      <c r="A300" s="189">
        <v>140414</v>
      </c>
      <c r="B300" s="147" t="s">
        <v>599</v>
      </c>
      <c r="C300" s="199">
        <v>217725377</v>
      </c>
      <c r="D300" s="147" t="s">
        <v>893</v>
      </c>
      <c r="E300" s="121">
        <v>904</v>
      </c>
      <c r="F300" s="120">
        <v>0</v>
      </c>
    </row>
    <row r="301" spans="1:6" ht="24">
      <c r="A301" s="189">
        <v>140414</v>
      </c>
      <c r="B301" s="147" t="s">
        <v>599</v>
      </c>
      <c r="C301" s="199">
        <v>217725777</v>
      </c>
      <c r="D301" s="147" t="s">
        <v>894</v>
      </c>
      <c r="E301" s="121">
        <v>157</v>
      </c>
      <c r="F301" s="120">
        <v>0</v>
      </c>
    </row>
    <row r="302" spans="1:6" ht="24">
      <c r="A302" s="189">
        <v>140414</v>
      </c>
      <c r="B302" s="147" t="s">
        <v>599</v>
      </c>
      <c r="C302" s="199">
        <v>217750577</v>
      </c>
      <c r="D302" s="147" t="s">
        <v>895</v>
      </c>
      <c r="E302" s="121">
        <v>236</v>
      </c>
      <c r="F302" s="120">
        <v>0</v>
      </c>
    </row>
    <row r="303" spans="1:6" ht="24">
      <c r="A303" s="189">
        <v>140414</v>
      </c>
      <c r="B303" s="147" t="s">
        <v>599</v>
      </c>
      <c r="C303" s="199">
        <v>217768077</v>
      </c>
      <c r="D303" s="147" t="s">
        <v>896</v>
      </c>
      <c r="E303" s="121">
        <v>285</v>
      </c>
      <c r="F303" s="120">
        <v>0</v>
      </c>
    </row>
    <row r="304" spans="1:6" ht="24">
      <c r="A304" s="189">
        <v>140414</v>
      </c>
      <c r="B304" s="147" t="s">
        <v>599</v>
      </c>
      <c r="C304" s="199">
        <v>217815778</v>
      </c>
      <c r="D304" s="147" t="s">
        <v>897</v>
      </c>
      <c r="E304" s="121">
        <v>24</v>
      </c>
      <c r="F304" s="120">
        <v>0</v>
      </c>
    </row>
    <row r="305" spans="1:6" ht="24">
      <c r="A305" s="189">
        <v>140414</v>
      </c>
      <c r="B305" s="147" t="s">
        <v>599</v>
      </c>
      <c r="C305" s="199">
        <v>217841078</v>
      </c>
      <c r="D305" s="147" t="s">
        <v>898</v>
      </c>
      <c r="E305" s="121">
        <v>124</v>
      </c>
      <c r="F305" s="120">
        <v>0</v>
      </c>
    </row>
    <row r="306" spans="1:6" ht="24">
      <c r="A306" s="189">
        <v>140414</v>
      </c>
      <c r="B306" s="147" t="s">
        <v>599</v>
      </c>
      <c r="C306" s="199">
        <v>217841378</v>
      </c>
      <c r="D306" s="147" t="s">
        <v>899</v>
      </c>
      <c r="E306" s="121">
        <v>134</v>
      </c>
      <c r="F306" s="120">
        <v>0</v>
      </c>
    </row>
    <row r="307" spans="1:6" ht="24">
      <c r="A307" s="189">
        <v>140414</v>
      </c>
      <c r="B307" s="147" t="s">
        <v>599</v>
      </c>
      <c r="C307" s="199">
        <v>217918479</v>
      </c>
      <c r="D307" s="147" t="s">
        <v>900</v>
      </c>
      <c r="E307" s="121">
        <v>21</v>
      </c>
      <c r="F307" s="120">
        <v>0</v>
      </c>
    </row>
    <row r="308" spans="1:6" ht="24">
      <c r="A308" s="189">
        <v>140414</v>
      </c>
      <c r="B308" s="147" t="s">
        <v>599</v>
      </c>
      <c r="C308" s="199">
        <v>217925279</v>
      </c>
      <c r="D308" s="147" t="s">
        <v>901</v>
      </c>
      <c r="E308" s="121">
        <v>45</v>
      </c>
      <c r="F308" s="120">
        <v>0</v>
      </c>
    </row>
    <row r="309" spans="1:6" ht="24">
      <c r="A309" s="189">
        <v>140414</v>
      </c>
      <c r="B309" s="147" t="s">
        <v>599</v>
      </c>
      <c r="C309" s="199">
        <v>217925779</v>
      </c>
      <c r="D309" s="147" t="s">
        <v>902</v>
      </c>
      <c r="E309" s="121">
        <v>20</v>
      </c>
      <c r="F309" s="120">
        <v>0</v>
      </c>
    </row>
    <row r="310" spans="1:6" ht="24">
      <c r="A310" s="189">
        <v>140414</v>
      </c>
      <c r="B310" s="147" t="s">
        <v>599</v>
      </c>
      <c r="C310" s="199">
        <v>217968679</v>
      </c>
      <c r="D310" s="147" t="s">
        <v>903</v>
      </c>
      <c r="E310" s="121">
        <v>554</v>
      </c>
      <c r="F310" s="120">
        <v>0</v>
      </c>
    </row>
    <row r="311" spans="1:6" ht="24">
      <c r="A311" s="189">
        <v>140414</v>
      </c>
      <c r="B311" s="147" t="s">
        <v>599</v>
      </c>
      <c r="C311" s="199">
        <v>217985279</v>
      </c>
      <c r="D311" s="147" t="s">
        <v>904</v>
      </c>
      <c r="E311" s="121">
        <v>133</v>
      </c>
      <c r="F311" s="120">
        <v>0</v>
      </c>
    </row>
    <row r="312" spans="1:6" ht="24">
      <c r="A312" s="189">
        <v>140414</v>
      </c>
      <c r="B312" s="147" t="s">
        <v>599</v>
      </c>
      <c r="C312" s="199">
        <v>218015380</v>
      </c>
      <c r="D312" s="147" t="s">
        <v>905</v>
      </c>
      <c r="E312" s="121">
        <v>84</v>
      </c>
      <c r="F312" s="120">
        <v>0</v>
      </c>
    </row>
    <row r="313" spans="1:6" ht="24">
      <c r="A313" s="189">
        <v>140414</v>
      </c>
      <c r="B313" s="147" t="s">
        <v>599</v>
      </c>
      <c r="C313" s="199">
        <v>218025580</v>
      </c>
      <c r="D313" s="147" t="s">
        <v>906</v>
      </c>
      <c r="E313" s="121">
        <v>145</v>
      </c>
      <c r="F313" s="120">
        <v>0</v>
      </c>
    </row>
    <row r="314" spans="1:6" ht="24">
      <c r="A314" s="189">
        <v>140414</v>
      </c>
      <c r="B314" s="147" t="s">
        <v>599</v>
      </c>
      <c r="C314" s="199">
        <v>218050680</v>
      </c>
      <c r="D314" s="147" t="s">
        <v>907</v>
      </c>
      <c r="E314" s="121">
        <v>189</v>
      </c>
      <c r="F314" s="120">
        <v>0</v>
      </c>
    </row>
    <row r="315" spans="1:6" ht="24">
      <c r="A315" s="189">
        <v>140414</v>
      </c>
      <c r="B315" s="147" t="s">
        <v>599</v>
      </c>
      <c r="C315" s="199">
        <v>218054480</v>
      </c>
      <c r="D315" s="147" t="s">
        <v>908</v>
      </c>
      <c r="E315" s="121">
        <v>80</v>
      </c>
      <c r="F315" s="120">
        <v>0</v>
      </c>
    </row>
    <row r="316" spans="1:6" ht="24">
      <c r="A316" s="189">
        <v>140414</v>
      </c>
      <c r="B316" s="147" t="s">
        <v>599</v>
      </c>
      <c r="C316" s="199">
        <v>218054680</v>
      </c>
      <c r="D316" s="147" t="s">
        <v>909</v>
      </c>
      <c r="E316" s="121">
        <v>77</v>
      </c>
      <c r="F316" s="120">
        <v>0</v>
      </c>
    </row>
    <row r="317" spans="1:6" ht="24">
      <c r="A317" s="189">
        <v>140414</v>
      </c>
      <c r="B317" s="147" t="s">
        <v>599</v>
      </c>
      <c r="C317" s="199">
        <v>218115681</v>
      </c>
      <c r="D317" s="147" t="s">
        <v>910</v>
      </c>
      <c r="E317" s="121">
        <v>28</v>
      </c>
      <c r="F317" s="120">
        <v>0</v>
      </c>
    </row>
    <row r="318" spans="1:6" ht="24">
      <c r="A318" s="189">
        <v>140414</v>
      </c>
      <c r="B318" s="147" t="s">
        <v>599</v>
      </c>
      <c r="C318" s="199">
        <v>218125181</v>
      </c>
      <c r="D318" s="147" t="s">
        <v>911</v>
      </c>
      <c r="E318" s="121">
        <v>218</v>
      </c>
      <c r="F318" s="120">
        <v>0</v>
      </c>
    </row>
    <row r="319" spans="1:6" ht="24">
      <c r="A319" s="189">
        <v>140414</v>
      </c>
      <c r="B319" s="147" t="s">
        <v>599</v>
      </c>
      <c r="C319" s="199">
        <v>218125281</v>
      </c>
      <c r="D319" s="147" t="s">
        <v>912</v>
      </c>
      <c r="E319" s="121">
        <v>197</v>
      </c>
      <c r="F319" s="120">
        <v>0</v>
      </c>
    </row>
    <row r="320" spans="1:6" ht="24">
      <c r="A320" s="189">
        <v>140414</v>
      </c>
      <c r="B320" s="147" t="s">
        <v>599</v>
      </c>
      <c r="C320" s="199">
        <v>218125781</v>
      </c>
      <c r="D320" s="147" t="s">
        <v>913</v>
      </c>
      <c r="E320" s="121">
        <v>131</v>
      </c>
      <c r="F320" s="120">
        <v>0</v>
      </c>
    </row>
    <row r="321" spans="1:6" ht="24">
      <c r="A321" s="189">
        <v>140414</v>
      </c>
      <c r="B321" s="147" t="s">
        <v>599</v>
      </c>
      <c r="C321" s="199">
        <v>218266682</v>
      </c>
      <c r="D321" s="147" t="s">
        <v>914</v>
      </c>
      <c r="E321" s="121">
        <v>955</v>
      </c>
      <c r="F321" s="120">
        <v>0</v>
      </c>
    </row>
    <row r="322" spans="1:6" ht="24">
      <c r="A322" s="189">
        <v>140414</v>
      </c>
      <c r="B322" s="147" t="s">
        <v>599</v>
      </c>
      <c r="C322" s="199">
        <v>218313683</v>
      </c>
      <c r="D322" s="147" t="s">
        <v>915</v>
      </c>
      <c r="E322" s="121">
        <v>25</v>
      </c>
      <c r="F322" s="120">
        <v>0</v>
      </c>
    </row>
    <row r="323" spans="1:6" ht="24">
      <c r="A323" s="189">
        <v>140414</v>
      </c>
      <c r="B323" s="147" t="s">
        <v>599</v>
      </c>
      <c r="C323" s="199">
        <v>218315183</v>
      </c>
      <c r="D323" s="147" t="s">
        <v>916</v>
      </c>
      <c r="E323" s="121">
        <v>139</v>
      </c>
      <c r="F323" s="120">
        <v>0</v>
      </c>
    </row>
    <row r="324" spans="1:6" ht="24">
      <c r="A324" s="189">
        <v>140414</v>
      </c>
      <c r="B324" s="147" t="s">
        <v>599</v>
      </c>
      <c r="C324" s="199">
        <v>218325183</v>
      </c>
      <c r="D324" s="147" t="s">
        <v>917</v>
      </c>
      <c r="E324" s="121">
        <v>244</v>
      </c>
      <c r="F324" s="120">
        <v>0</v>
      </c>
    </row>
    <row r="325" spans="1:6" ht="24">
      <c r="A325" s="189">
        <v>140414</v>
      </c>
      <c r="B325" s="147" t="s">
        <v>599</v>
      </c>
      <c r="C325" s="199">
        <v>218341483</v>
      </c>
      <c r="D325" s="147" t="s">
        <v>918</v>
      </c>
      <c r="E325" s="121">
        <v>147</v>
      </c>
      <c r="F325" s="120">
        <v>0</v>
      </c>
    </row>
    <row r="326" spans="1:6" ht="24">
      <c r="A326" s="189">
        <v>140414</v>
      </c>
      <c r="B326" s="147" t="s">
        <v>599</v>
      </c>
      <c r="C326" s="199">
        <v>218350683</v>
      </c>
      <c r="D326" s="147" t="s">
        <v>919</v>
      </c>
      <c r="E326" s="121">
        <v>6</v>
      </c>
      <c r="F326" s="120">
        <v>0</v>
      </c>
    </row>
    <row r="327" spans="1:6" ht="24">
      <c r="A327" s="189">
        <v>140414</v>
      </c>
      <c r="B327" s="147" t="s">
        <v>599</v>
      </c>
      <c r="C327" s="199">
        <v>218405284</v>
      </c>
      <c r="D327" s="147" t="s">
        <v>920</v>
      </c>
      <c r="E327" s="121">
        <v>218</v>
      </c>
      <c r="F327" s="120">
        <v>0</v>
      </c>
    </row>
    <row r="328" spans="1:6" ht="24">
      <c r="A328" s="189">
        <v>140414</v>
      </c>
      <c r="B328" s="147" t="s">
        <v>599</v>
      </c>
      <c r="C328" s="199">
        <v>218518785</v>
      </c>
      <c r="D328" s="147" t="s">
        <v>921</v>
      </c>
      <c r="E328" s="121">
        <v>26</v>
      </c>
      <c r="F328" s="120">
        <v>0</v>
      </c>
    </row>
    <row r="329" spans="1:6" ht="24">
      <c r="A329" s="189">
        <v>140414</v>
      </c>
      <c r="B329" s="147" t="s">
        <v>599</v>
      </c>
      <c r="C329" s="199">
        <v>218519785</v>
      </c>
      <c r="D329" s="147" t="s">
        <v>922</v>
      </c>
      <c r="E329" s="121">
        <v>75</v>
      </c>
      <c r="F329" s="120">
        <v>0</v>
      </c>
    </row>
    <row r="330" spans="1:6" ht="24">
      <c r="A330" s="189">
        <v>140414</v>
      </c>
      <c r="B330" s="147" t="s">
        <v>599</v>
      </c>
      <c r="C330" s="199">
        <v>218525885</v>
      </c>
      <c r="D330" s="147" t="s">
        <v>923</v>
      </c>
      <c r="E330" s="121">
        <v>224</v>
      </c>
      <c r="F330" s="120">
        <v>0</v>
      </c>
    </row>
    <row r="331" spans="1:6" ht="24">
      <c r="A331" s="189">
        <v>140414</v>
      </c>
      <c r="B331" s="147" t="s">
        <v>599</v>
      </c>
      <c r="C331" s="199">
        <v>218541885</v>
      </c>
      <c r="D331" s="147" t="s">
        <v>924</v>
      </c>
      <c r="E331" s="121">
        <v>273</v>
      </c>
      <c r="F331" s="120">
        <v>0</v>
      </c>
    </row>
    <row r="332" spans="1:6" ht="24">
      <c r="A332" s="189">
        <v>140414</v>
      </c>
      <c r="B332" s="147" t="s">
        <v>599</v>
      </c>
      <c r="C332" s="199">
        <v>218552385</v>
      </c>
      <c r="D332" s="147" t="s">
        <v>925</v>
      </c>
      <c r="E332" s="121">
        <v>162</v>
      </c>
      <c r="F332" s="120">
        <v>0</v>
      </c>
    </row>
    <row r="333" spans="1:6" ht="24">
      <c r="A333" s="189">
        <v>140414</v>
      </c>
      <c r="B333" s="147" t="s">
        <v>599</v>
      </c>
      <c r="C333" s="199">
        <v>218573585</v>
      </c>
      <c r="D333" s="147" t="s">
        <v>926</v>
      </c>
      <c r="E333" s="121">
        <v>27</v>
      </c>
      <c r="F333" s="120">
        <v>0</v>
      </c>
    </row>
    <row r="334" spans="1:6" ht="24">
      <c r="A334" s="189">
        <v>140414</v>
      </c>
      <c r="B334" s="147" t="s">
        <v>599</v>
      </c>
      <c r="C334" s="199">
        <v>218617486</v>
      </c>
      <c r="D334" s="147" t="s">
        <v>927</v>
      </c>
      <c r="E334" s="121">
        <v>380</v>
      </c>
      <c r="F334" s="120">
        <v>0</v>
      </c>
    </row>
    <row r="335" spans="1:6" ht="24">
      <c r="A335" s="189">
        <v>140414</v>
      </c>
      <c r="B335" s="147" t="s">
        <v>599</v>
      </c>
      <c r="C335" s="199">
        <v>218623686</v>
      </c>
      <c r="D335" s="147" t="s">
        <v>928</v>
      </c>
      <c r="E335" s="121">
        <v>20</v>
      </c>
      <c r="F335" s="120">
        <v>0</v>
      </c>
    </row>
    <row r="336" spans="1:6" ht="24">
      <c r="A336" s="189">
        <v>140414</v>
      </c>
      <c r="B336" s="147" t="s">
        <v>599</v>
      </c>
      <c r="C336" s="199">
        <v>218625286</v>
      </c>
      <c r="D336" s="147" t="s">
        <v>929</v>
      </c>
      <c r="E336" s="121">
        <v>33</v>
      </c>
      <c r="F336" s="120">
        <v>0</v>
      </c>
    </row>
    <row r="337" spans="1:6" ht="24">
      <c r="A337" s="189">
        <v>140414</v>
      </c>
      <c r="B337" s="147" t="s">
        <v>599</v>
      </c>
      <c r="C337" s="199">
        <v>218625386</v>
      </c>
      <c r="D337" s="147" t="s">
        <v>930</v>
      </c>
      <c r="E337" s="121">
        <v>842</v>
      </c>
      <c r="F337" s="120">
        <v>0</v>
      </c>
    </row>
    <row r="338" spans="1:6" ht="24">
      <c r="A338" s="189">
        <v>140414</v>
      </c>
      <c r="B338" s="147" t="s">
        <v>599</v>
      </c>
      <c r="C338" s="199">
        <v>218625486</v>
      </c>
      <c r="D338" s="147" t="s">
        <v>931</v>
      </c>
      <c r="E338" s="121">
        <v>327</v>
      </c>
      <c r="F338" s="120">
        <v>0</v>
      </c>
    </row>
    <row r="339" spans="1:6" ht="24">
      <c r="A339" s="189">
        <v>140414</v>
      </c>
      <c r="B339" s="147" t="s">
        <v>599</v>
      </c>
      <c r="C339" s="199">
        <v>218650686</v>
      </c>
      <c r="D339" s="147" t="s">
        <v>932</v>
      </c>
      <c r="E339" s="121">
        <v>66</v>
      </c>
      <c r="F339" s="120">
        <v>0</v>
      </c>
    </row>
    <row r="340" spans="1:6" ht="24">
      <c r="A340" s="189">
        <v>140414</v>
      </c>
      <c r="B340" s="147" t="s">
        <v>599</v>
      </c>
      <c r="C340" s="199">
        <v>218673686</v>
      </c>
      <c r="D340" s="147" t="s">
        <v>933</v>
      </c>
      <c r="E340" s="121">
        <v>5</v>
      </c>
      <c r="F340" s="120">
        <v>0</v>
      </c>
    </row>
    <row r="341" spans="1:6" ht="24">
      <c r="A341" s="189">
        <v>140414</v>
      </c>
      <c r="B341" s="147" t="s">
        <v>599</v>
      </c>
      <c r="C341" s="199">
        <v>218750287</v>
      </c>
      <c r="D341" s="147" t="s">
        <v>934</v>
      </c>
      <c r="E341" s="121">
        <v>392</v>
      </c>
      <c r="F341" s="120">
        <v>0</v>
      </c>
    </row>
    <row r="342" spans="1:6" ht="24">
      <c r="A342" s="189">
        <v>140414</v>
      </c>
      <c r="B342" s="147" t="s">
        <v>599</v>
      </c>
      <c r="C342" s="199">
        <v>218813688</v>
      </c>
      <c r="D342" s="147" t="s">
        <v>935</v>
      </c>
      <c r="E342" s="121">
        <v>364</v>
      </c>
      <c r="F342" s="120">
        <v>0</v>
      </c>
    </row>
    <row r="343" spans="1:6" ht="24">
      <c r="A343" s="189">
        <v>140414</v>
      </c>
      <c r="B343" s="147" t="s">
        <v>599</v>
      </c>
      <c r="C343" s="199">
        <v>218825288</v>
      </c>
      <c r="D343" s="147" t="s">
        <v>936</v>
      </c>
      <c r="E343" s="121">
        <v>163</v>
      </c>
      <c r="F343" s="120">
        <v>0</v>
      </c>
    </row>
    <row r="344" spans="1:6" ht="24">
      <c r="A344" s="189">
        <v>140414</v>
      </c>
      <c r="B344" s="147" t="s">
        <v>599</v>
      </c>
      <c r="C344" s="199">
        <v>218825488</v>
      </c>
      <c r="D344" s="147" t="s">
        <v>937</v>
      </c>
      <c r="E344" s="121">
        <v>399</v>
      </c>
      <c r="F344" s="120">
        <v>0</v>
      </c>
    </row>
    <row r="345" spans="1:6" ht="24">
      <c r="A345" s="189">
        <v>140414</v>
      </c>
      <c r="B345" s="147" t="s">
        <v>599</v>
      </c>
      <c r="C345" s="199">
        <v>218923189</v>
      </c>
      <c r="D345" s="147" t="s">
        <v>938</v>
      </c>
      <c r="E345" s="121">
        <v>27</v>
      </c>
      <c r="F345" s="120">
        <v>0</v>
      </c>
    </row>
    <row r="346" spans="1:6" ht="24">
      <c r="A346" s="189">
        <v>140414</v>
      </c>
      <c r="B346" s="147" t="s">
        <v>599</v>
      </c>
      <c r="C346" s="199">
        <v>218925489</v>
      </c>
      <c r="D346" s="147" t="s">
        <v>939</v>
      </c>
      <c r="E346" s="121">
        <v>118</v>
      </c>
      <c r="F346" s="120">
        <v>0</v>
      </c>
    </row>
    <row r="347" spans="1:6" ht="24">
      <c r="A347" s="189">
        <v>140414</v>
      </c>
      <c r="B347" s="147" t="s">
        <v>599</v>
      </c>
      <c r="C347" s="199">
        <v>218947189</v>
      </c>
      <c r="D347" s="147" t="s">
        <v>940</v>
      </c>
      <c r="E347" s="121">
        <v>36</v>
      </c>
      <c r="F347" s="120">
        <v>0</v>
      </c>
    </row>
    <row r="348" spans="1:6" ht="24">
      <c r="A348" s="189">
        <v>140414</v>
      </c>
      <c r="B348" s="147" t="s">
        <v>599</v>
      </c>
      <c r="C348" s="199">
        <v>218950689</v>
      </c>
      <c r="D348" s="147" t="s">
        <v>941</v>
      </c>
      <c r="E348" s="121">
        <v>20</v>
      </c>
      <c r="F348" s="120">
        <v>0</v>
      </c>
    </row>
    <row r="349" spans="1:6" ht="24">
      <c r="A349" s="189">
        <v>140414</v>
      </c>
      <c r="B349" s="147" t="s">
        <v>599</v>
      </c>
      <c r="C349" s="199">
        <v>218968689</v>
      </c>
      <c r="D349" s="147" t="s">
        <v>942</v>
      </c>
      <c r="E349" s="121">
        <v>473</v>
      </c>
      <c r="F349" s="120">
        <v>0</v>
      </c>
    </row>
    <row r="350" spans="1:6" ht="24">
      <c r="A350" s="189">
        <v>140414</v>
      </c>
      <c r="B350" s="147" t="s">
        <v>599</v>
      </c>
      <c r="C350" s="199">
        <v>219015090</v>
      </c>
      <c r="D350" s="147" t="s">
        <v>943</v>
      </c>
      <c r="E350" s="121">
        <v>153</v>
      </c>
      <c r="F350" s="120">
        <v>0</v>
      </c>
    </row>
    <row r="351" spans="1:6" ht="24">
      <c r="A351" s="189">
        <v>140414</v>
      </c>
      <c r="B351" s="147" t="s">
        <v>599</v>
      </c>
      <c r="C351" s="199">
        <v>219019290</v>
      </c>
      <c r="D351" s="147" t="s">
        <v>944</v>
      </c>
      <c r="E351" s="121">
        <v>85</v>
      </c>
      <c r="F351" s="120">
        <v>0</v>
      </c>
    </row>
    <row r="352" spans="1:6" ht="24">
      <c r="A352" s="189">
        <v>140414</v>
      </c>
      <c r="B352" s="147" t="s">
        <v>599</v>
      </c>
      <c r="C352" s="199">
        <v>219025290</v>
      </c>
      <c r="D352" s="147" t="s">
        <v>945</v>
      </c>
      <c r="E352" s="121">
        <v>25</v>
      </c>
      <c r="F352" s="120">
        <v>0</v>
      </c>
    </row>
    <row r="353" spans="1:6" ht="24">
      <c r="A353" s="189">
        <v>140414</v>
      </c>
      <c r="B353" s="147" t="s">
        <v>599</v>
      </c>
      <c r="C353" s="199">
        <v>219141791</v>
      </c>
      <c r="D353" s="147" t="s">
        <v>946</v>
      </c>
      <c r="E353" s="121">
        <v>146</v>
      </c>
      <c r="F353" s="120">
        <v>0</v>
      </c>
    </row>
    <row r="354" spans="1:6" ht="24">
      <c r="A354" s="189">
        <v>140414</v>
      </c>
      <c r="B354" s="147" t="s">
        <v>599</v>
      </c>
      <c r="C354" s="199">
        <v>219219392</v>
      </c>
      <c r="D354" s="147" t="s">
        <v>947</v>
      </c>
      <c r="E354" s="121">
        <v>129</v>
      </c>
      <c r="F354" s="120">
        <v>0</v>
      </c>
    </row>
    <row r="355" spans="1:6" ht="24">
      <c r="A355" s="189">
        <v>140414</v>
      </c>
      <c r="B355" s="147" t="s">
        <v>599</v>
      </c>
      <c r="C355" s="199">
        <v>219225592</v>
      </c>
      <c r="D355" s="147" t="s">
        <v>948</v>
      </c>
      <c r="E355" s="121">
        <v>130</v>
      </c>
      <c r="F355" s="120">
        <v>0</v>
      </c>
    </row>
    <row r="356" spans="1:6" ht="24">
      <c r="A356" s="189">
        <v>140414</v>
      </c>
      <c r="B356" s="147" t="s">
        <v>599</v>
      </c>
      <c r="C356" s="199">
        <v>219268092</v>
      </c>
      <c r="D356" s="147" t="s">
        <v>949</v>
      </c>
      <c r="E356" s="121">
        <v>129</v>
      </c>
      <c r="F356" s="120">
        <v>0</v>
      </c>
    </row>
    <row r="357" spans="1:6" ht="24">
      <c r="A357" s="189">
        <v>140414</v>
      </c>
      <c r="B357" s="147" t="s">
        <v>599</v>
      </c>
      <c r="C357" s="199">
        <v>219325293</v>
      </c>
      <c r="D357" s="147" t="s">
        <v>950</v>
      </c>
      <c r="E357" s="121">
        <v>322</v>
      </c>
      <c r="F357" s="120">
        <v>0</v>
      </c>
    </row>
    <row r="358" spans="1:6" ht="24">
      <c r="A358" s="189">
        <v>140414</v>
      </c>
      <c r="B358" s="147" t="s">
        <v>599</v>
      </c>
      <c r="C358" s="199">
        <v>219325793</v>
      </c>
      <c r="D358" s="147" t="s">
        <v>951</v>
      </c>
      <c r="E358" s="121">
        <v>152</v>
      </c>
      <c r="F358" s="120">
        <v>0</v>
      </c>
    </row>
    <row r="359" spans="1:6" ht="24">
      <c r="A359" s="189">
        <v>140414</v>
      </c>
      <c r="B359" s="147" t="s">
        <v>599</v>
      </c>
      <c r="C359" s="199">
        <v>219413894</v>
      </c>
      <c r="D359" s="147" t="s">
        <v>952</v>
      </c>
      <c r="E359" s="121">
        <v>195</v>
      </c>
      <c r="F359" s="120">
        <v>0</v>
      </c>
    </row>
    <row r="360" spans="1:6" ht="24">
      <c r="A360" s="189">
        <v>140414</v>
      </c>
      <c r="B360" s="147" t="s">
        <v>599</v>
      </c>
      <c r="C360" s="199">
        <v>219425594</v>
      </c>
      <c r="D360" s="147" t="s">
        <v>953</v>
      </c>
      <c r="E360" s="121">
        <v>171</v>
      </c>
      <c r="F360" s="120">
        <v>0</v>
      </c>
    </row>
    <row r="361" spans="1:6" ht="24">
      <c r="A361" s="189">
        <v>140414</v>
      </c>
      <c r="B361" s="147" t="s">
        <v>599</v>
      </c>
      <c r="C361" s="199">
        <v>219463594</v>
      </c>
      <c r="D361" s="147" t="s">
        <v>954</v>
      </c>
      <c r="E361" s="121">
        <v>601</v>
      </c>
      <c r="F361" s="120">
        <v>0</v>
      </c>
    </row>
    <row r="362" spans="1:6" ht="24">
      <c r="A362" s="189">
        <v>140414</v>
      </c>
      <c r="B362" s="147" t="s">
        <v>599</v>
      </c>
      <c r="C362" s="199">
        <v>219525095</v>
      </c>
      <c r="D362" s="147" t="s">
        <v>955</v>
      </c>
      <c r="E362" s="121">
        <v>79</v>
      </c>
      <c r="F362" s="120">
        <v>0</v>
      </c>
    </row>
    <row r="363" spans="1:6" ht="24">
      <c r="A363" s="189">
        <v>140414</v>
      </c>
      <c r="B363" s="147" t="s">
        <v>599</v>
      </c>
      <c r="C363" s="199">
        <v>219525295</v>
      </c>
      <c r="D363" s="147" t="s">
        <v>956</v>
      </c>
      <c r="E363" s="121">
        <v>263</v>
      </c>
      <c r="F363" s="120">
        <v>0</v>
      </c>
    </row>
    <row r="364" spans="1:6" ht="24">
      <c r="A364" s="189">
        <v>140414</v>
      </c>
      <c r="B364" s="147" t="s">
        <v>599</v>
      </c>
      <c r="C364" s="199">
        <v>219527495</v>
      </c>
      <c r="D364" s="147" t="s">
        <v>957</v>
      </c>
      <c r="E364" s="121">
        <v>117</v>
      </c>
      <c r="F364" s="120">
        <v>0</v>
      </c>
    </row>
    <row r="365" spans="1:6" ht="24">
      <c r="A365" s="189">
        <v>140414</v>
      </c>
      <c r="B365" s="147" t="s">
        <v>599</v>
      </c>
      <c r="C365" s="199">
        <v>219625596</v>
      </c>
      <c r="D365" s="147" t="s">
        <v>958</v>
      </c>
      <c r="E365" s="121">
        <v>132</v>
      </c>
      <c r="F365" s="120">
        <v>0</v>
      </c>
    </row>
    <row r="366" spans="1:6" ht="24">
      <c r="A366" s="189">
        <v>140414</v>
      </c>
      <c r="B366" s="147" t="s">
        <v>599</v>
      </c>
      <c r="C366" s="199">
        <v>219641396</v>
      </c>
      <c r="D366" s="147" t="s">
        <v>959</v>
      </c>
      <c r="E366" s="121">
        <v>441</v>
      </c>
      <c r="F366" s="120">
        <v>0</v>
      </c>
    </row>
    <row r="367" spans="1:6" ht="24">
      <c r="A367" s="189">
        <v>140414</v>
      </c>
      <c r="B367" s="147" t="s">
        <v>599</v>
      </c>
      <c r="C367" s="199">
        <v>219719397</v>
      </c>
      <c r="D367" s="147" t="s">
        <v>960</v>
      </c>
      <c r="E367" s="121">
        <v>136</v>
      </c>
      <c r="F367" s="120">
        <v>0</v>
      </c>
    </row>
    <row r="368" spans="1:6" ht="24">
      <c r="A368" s="189">
        <v>140414</v>
      </c>
      <c r="B368" s="147" t="s">
        <v>599</v>
      </c>
      <c r="C368" s="199">
        <v>219725297</v>
      </c>
      <c r="D368" s="147" t="s">
        <v>961</v>
      </c>
      <c r="E368" s="121">
        <v>512</v>
      </c>
      <c r="F368" s="120">
        <v>0</v>
      </c>
    </row>
    <row r="369" spans="1:6" ht="24">
      <c r="A369" s="189">
        <v>140414</v>
      </c>
      <c r="B369" s="147" t="s">
        <v>599</v>
      </c>
      <c r="C369" s="199">
        <v>219741797</v>
      </c>
      <c r="D369" s="147" t="s">
        <v>962</v>
      </c>
      <c r="E369" s="121">
        <v>189</v>
      </c>
      <c r="F369" s="120">
        <v>0</v>
      </c>
    </row>
    <row r="370" spans="1:6" ht="24">
      <c r="A370" s="189">
        <v>140414</v>
      </c>
      <c r="B370" s="147" t="s">
        <v>599</v>
      </c>
      <c r="C370" s="199">
        <v>219776497</v>
      </c>
      <c r="D370" s="147" t="s">
        <v>963</v>
      </c>
      <c r="E370" s="121">
        <v>291</v>
      </c>
      <c r="F370" s="120">
        <v>0</v>
      </c>
    </row>
    <row r="371" spans="1:6" ht="24">
      <c r="A371" s="189">
        <v>140414</v>
      </c>
      <c r="B371" s="147" t="s">
        <v>599</v>
      </c>
      <c r="C371" s="199">
        <v>219815798</v>
      </c>
      <c r="D371" s="147" t="s">
        <v>964</v>
      </c>
      <c r="E371" s="121">
        <v>143</v>
      </c>
      <c r="F371" s="120">
        <v>0</v>
      </c>
    </row>
    <row r="372" spans="1:6" ht="24">
      <c r="A372" s="189">
        <v>140414</v>
      </c>
      <c r="B372" s="147" t="s">
        <v>599</v>
      </c>
      <c r="C372" s="199">
        <v>219825398</v>
      </c>
      <c r="D372" s="147" t="s">
        <v>965</v>
      </c>
      <c r="E372" s="121">
        <v>136</v>
      </c>
      <c r="F372" s="120">
        <v>0</v>
      </c>
    </row>
    <row r="373" spans="1:6" ht="24">
      <c r="A373" s="189">
        <v>140414</v>
      </c>
      <c r="B373" s="147" t="s">
        <v>599</v>
      </c>
      <c r="C373" s="199">
        <v>219825898</v>
      </c>
      <c r="D373" s="147" t="s">
        <v>966</v>
      </c>
      <c r="E373" s="121">
        <v>66</v>
      </c>
      <c r="F373" s="120">
        <v>0</v>
      </c>
    </row>
    <row r="374" spans="1:6" ht="24">
      <c r="A374" s="189">
        <v>140414</v>
      </c>
      <c r="B374" s="147" t="s">
        <v>599</v>
      </c>
      <c r="C374" s="199">
        <v>219841298</v>
      </c>
      <c r="D374" s="147" t="s">
        <v>967</v>
      </c>
      <c r="E374" s="121">
        <v>801</v>
      </c>
      <c r="F374" s="120">
        <v>0</v>
      </c>
    </row>
    <row r="375" spans="1:6" ht="24">
      <c r="A375" s="189">
        <v>140414</v>
      </c>
      <c r="B375" s="147" t="s">
        <v>599</v>
      </c>
      <c r="C375" s="199">
        <v>219868498</v>
      </c>
      <c r="D375" s="147" t="s">
        <v>968</v>
      </c>
      <c r="E375" s="121">
        <v>118</v>
      </c>
      <c r="F375" s="120">
        <v>0</v>
      </c>
    </row>
    <row r="376" spans="1:6" ht="24">
      <c r="A376" s="189">
        <v>140414</v>
      </c>
      <c r="B376" s="147" t="s">
        <v>599</v>
      </c>
      <c r="C376" s="199">
        <v>219915299</v>
      </c>
      <c r="D376" s="147" t="s">
        <v>969</v>
      </c>
      <c r="E376" s="121">
        <v>209</v>
      </c>
      <c r="F376" s="120">
        <v>0</v>
      </c>
    </row>
    <row r="377" spans="1:6" ht="24">
      <c r="A377" s="189">
        <v>140414</v>
      </c>
      <c r="B377" s="147" t="s">
        <v>599</v>
      </c>
      <c r="C377" s="199">
        <v>219925099</v>
      </c>
      <c r="D377" s="147" t="s">
        <v>970</v>
      </c>
      <c r="E377" s="121">
        <v>384</v>
      </c>
      <c r="F377" s="120">
        <v>0</v>
      </c>
    </row>
    <row r="378" spans="1:6" ht="24">
      <c r="A378" s="189">
        <v>140414</v>
      </c>
      <c r="B378" s="147" t="s">
        <v>599</v>
      </c>
      <c r="C378" s="199">
        <v>219925299</v>
      </c>
      <c r="D378" s="147" t="s">
        <v>971</v>
      </c>
      <c r="E378" s="121">
        <v>168</v>
      </c>
      <c r="F378" s="120">
        <v>0</v>
      </c>
    </row>
    <row r="379" spans="1:6" ht="24">
      <c r="A379" s="189">
        <v>140414</v>
      </c>
      <c r="B379" s="147" t="s">
        <v>599</v>
      </c>
      <c r="C379" s="199">
        <v>219941799</v>
      </c>
      <c r="D379" s="147" t="s">
        <v>972</v>
      </c>
      <c r="E379" s="121">
        <v>183</v>
      </c>
      <c r="F379" s="120">
        <v>0</v>
      </c>
    </row>
    <row r="380" spans="1:6" ht="24">
      <c r="A380" s="189">
        <v>140414</v>
      </c>
      <c r="B380" s="147" t="s">
        <v>599</v>
      </c>
      <c r="C380" s="199">
        <v>600000184</v>
      </c>
      <c r="D380" s="147" t="s">
        <v>973</v>
      </c>
      <c r="E380" s="121">
        <v>2317</v>
      </c>
      <c r="F380" s="120">
        <v>0</v>
      </c>
    </row>
    <row r="381" spans="1:6" ht="24">
      <c r="A381" s="189">
        <v>140414</v>
      </c>
      <c r="B381" s="147" t="s">
        <v>599</v>
      </c>
      <c r="C381" s="199">
        <v>822400000</v>
      </c>
      <c r="D381" s="147" t="s">
        <v>974</v>
      </c>
      <c r="E381" s="121">
        <v>186</v>
      </c>
      <c r="F381" s="120">
        <v>0</v>
      </c>
    </row>
    <row r="382" spans="1:6" ht="24">
      <c r="A382" s="189">
        <v>140414</v>
      </c>
      <c r="B382" s="147" t="s">
        <v>599</v>
      </c>
      <c r="C382" s="199">
        <v>822500000</v>
      </c>
      <c r="D382" s="147" t="s">
        <v>975</v>
      </c>
      <c r="E382" s="121">
        <v>234</v>
      </c>
      <c r="F382" s="120">
        <v>0</v>
      </c>
    </row>
    <row r="383" spans="1:6" ht="24">
      <c r="A383" s="189">
        <v>140414</v>
      </c>
      <c r="B383" s="147" t="s">
        <v>599</v>
      </c>
      <c r="C383" s="199">
        <v>828200000</v>
      </c>
      <c r="D383" s="147" t="s">
        <v>976</v>
      </c>
      <c r="E383" s="121">
        <v>2408</v>
      </c>
      <c r="F383" s="120">
        <v>0</v>
      </c>
    </row>
    <row r="384" spans="1:6" ht="24">
      <c r="A384" s="189">
        <v>140414</v>
      </c>
      <c r="B384" s="147" t="s">
        <v>599</v>
      </c>
      <c r="C384" s="199">
        <v>828600000</v>
      </c>
      <c r="D384" s="147" t="s">
        <v>977</v>
      </c>
      <c r="E384" s="121">
        <v>380</v>
      </c>
      <c r="F384" s="120">
        <v>0</v>
      </c>
    </row>
    <row r="385" spans="1:6" ht="12">
      <c r="A385" s="190">
        <v>142003</v>
      </c>
      <c r="B385" s="176" t="s">
        <v>978</v>
      </c>
      <c r="C385" s="202" t="s">
        <v>979</v>
      </c>
      <c r="D385" s="177" t="s">
        <v>980</v>
      </c>
      <c r="E385" s="121">
        <v>29134317</v>
      </c>
      <c r="F385" s="120">
        <v>0</v>
      </c>
    </row>
    <row r="386" spans="1:6" ht="12">
      <c r="A386" s="190">
        <v>142003</v>
      </c>
      <c r="B386" s="176" t="s">
        <v>978</v>
      </c>
      <c r="C386" s="203" t="s">
        <v>981</v>
      </c>
      <c r="D386" s="177" t="s">
        <v>982</v>
      </c>
      <c r="E386" s="121">
        <v>1559038</v>
      </c>
      <c r="F386" s="120">
        <v>0</v>
      </c>
    </row>
    <row r="387" spans="1:6" ht="12">
      <c r="A387" s="190">
        <v>142003</v>
      </c>
      <c r="B387" s="176" t="s">
        <v>978</v>
      </c>
      <c r="C387" s="202" t="s">
        <v>983</v>
      </c>
      <c r="D387" s="177" t="s">
        <v>984</v>
      </c>
      <c r="E387" s="121">
        <v>1056508</v>
      </c>
      <c r="F387" s="120">
        <v>0</v>
      </c>
    </row>
    <row r="388" spans="1:6" ht="12">
      <c r="A388" s="190">
        <v>224625</v>
      </c>
      <c r="B388" s="178" t="s">
        <v>985</v>
      </c>
      <c r="C388" s="204" t="s">
        <v>986</v>
      </c>
      <c r="D388" s="179" t="s">
        <v>987</v>
      </c>
      <c r="E388" s="121">
        <v>27433525</v>
      </c>
      <c r="F388" s="120">
        <v>0</v>
      </c>
    </row>
    <row r="389" spans="1:6" ht="24">
      <c r="A389" s="190">
        <v>240304</v>
      </c>
      <c r="B389" s="178" t="s">
        <v>988</v>
      </c>
      <c r="C389" s="205" t="s">
        <v>989</v>
      </c>
      <c r="D389" s="179" t="s">
        <v>990</v>
      </c>
      <c r="E389" s="121">
        <v>82593721</v>
      </c>
      <c r="F389" s="120">
        <v>0</v>
      </c>
    </row>
    <row r="390" spans="1:6" ht="12">
      <c r="A390" s="191">
        <v>240314</v>
      </c>
      <c r="B390" s="149" t="s">
        <v>991</v>
      </c>
      <c r="C390" s="201">
        <v>110505000</v>
      </c>
      <c r="D390" s="147" t="s">
        <v>992</v>
      </c>
      <c r="E390" s="180">
        <v>46387188</v>
      </c>
      <c r="F390" s="120">
        <v>0</v>
      </c>
    </row>
    <row r="391" spans="1:6" ht="12">
      <c r="A391" s="190">
        <v>240314</v>
      </c>
      <c r="B391" s="171" t="s">
        <v>991</v>
      </c>
      <c r="C391" s="200">
        <v>110808000</v>
      </c>
      <c r="D391" s="178" t="s">
        <v>993</v>
      </c>
      <c r="E391" s="180">
        <v>10977284</v>
      </c>
      <c r="F391" s="120">
        <v>0</v>
      </c>
    </row>
    <row r="392" spans="1:6" ht="12">
      <c r="A392" s="190">
        <v>240314</v>
      </c>
      <c r="B392" s="171" t="s">
        <v>991</v>
      </c>
      <c r="C392" s="200">
        <v>111313000</v>
      </c>
      <c r="D392" s="178" t="s">
        <v>994</v>
      </c>
      <c r="E392" s="180">
        <v>19841582</v>
      </c>
      <c r="F392" s="120">
        <v>0</v>
      </c>
    </row>
    <row r="393" spans="1:6" ht="12">
      <c r="A393" s="190">
        <v>240314</v>
      </c>
      <c r="B393" s="171" t="s">
        <v>991</v>
      </c>
      <c r="C393" s="200">
        <v>111515000</v>
      </c>
      <c r="D393" s="178" t="s">
        <v>995</v>
      </c>
      <c r="E393" s="180">
        <v>21960228</v>
      </c>
      <c r="F393" s="120">
        <v>0</v>
      </c>
    </row>
    <row r="394" spans="1:6" ht="12">
      <c r="A394" s="190">
        <v>240314</v>
      </c>
      <c r="B394" s="171" t="s">
        <v>991</v>
      </c>
      <c r="C394" s="200">
        <v>111717000</v>
      </c>
      <c r="D394" s="178" t="s">
        <v>996</v>
      </c>
      <c r="E394" s="180">
        <v>10492514</v>
      </c>
      <c r="F394" s="120">
        <v>0</v>
      </c>
    </row>
    <row r="395" spans="1:6" ht="12">
      <c r="A395" s="190">
        <v>240314</v>
      </c>
      <c r="B395" s="171" t="s">
        <v>991</v>
      </c>
      <c r="C395" s="200">
        <v>111818000</v>
      </c>
      <c r="D395" s="178" t="s">
        <v>997</v>
      </c>
      <c r="E395" s="180">
        <v>5553295</v>
      </c>
      <c r="F395" s="120">
        <v>0</v>
      </c>
    </row>
    <row r="396" spans="1:6" ht="12">
      <c r="A396" s="190">
        <v>240314</v>
      </c>
      <c r="B396" s="171" t="s">
        <v>991</v>
      </c>
      <c r="C396" s="200">
        <v>111919000</v>
      </c>
      <c r="D396" s="178" t="s">
        <v>998</v>
      </c>
      <c r="E396" s="180">
        <v>19658518</v>
      </c>
      <c r="F396" s="120">
        <v>0</v>
      </c>
    </row>
    <row r="397" spans="1:6" ht="12">
      <c r="A397" s="190">
        <v>240314</v>
      </c>
      <c r="B397" s="171" t="s">
        <v>991</v>
      </c>
      <c r="C397" s="200">
        <v>112020000</v>
      </c>
      <c r="D397" s="178" t="s">
        <v>999</v>
      </c>
      <c r="E397" s="180">
        <v>12049259</v>
      </c>
      <c r="F397" s="120">
        <v>0</v>
      </c>
    </row>
    <row r="398" spans="1:6" ht="12">
      <c r="A398" s="190">
        <v>240314</v>
      </c>
      <c r="B398" s="171" t="s">
        <v>991</v>
      </c>
      <c r="C398" s="200">
        <v>112727000</v>
      </c>
      <c r="D398" s="178" t="s">
        <v>1000</v>
      </c>
      <c r="E398" s="180">
        <v>19333259</v>
      </c>
      <c r="F398" s="120">
        <v>0</v>
      </c>
    </row>
    <row r="399" spans="1:6" ht="12">
      <c r="A399" s="190">
        <v>240314</v>
      </c>
      <c r="B399" s="171" t="s">
        <v>991</v>
      </c>
      <c r="C399" s="200">
        <v>112323000</v>
      </c>
      <c r="D399" s="178" t="s">
        <v>1001</v>
      </c>
      <c r="E399" s="180">
        <v>30610761</v>
      </c>
      <c r="F399" s="120">
        <v>0</v>
      </c>
    </row>
    <row r="400" spans="1:6" ht="12">
      <c r="A400" s="190">
        <v>240314</v>
      </c>
      <c r="B400" s="171" t="s">
        <v>991</v>
      </c>
      <c r="C400" s="200">
        <v>112525000</v>
      </c>
      <c r="D400" s="178" t="s">
        <v>2757</v>
      </c>
      <c r="E400" s="180">
        <v>11652463</v>
      </c>
      <c r="F400" s="120">
        <v>0</v>
      </c>
    </row>
    <row r="401" spans="1:6" ht="12">
      <c r="A401" s="190">
        <v>240314</v>
      </c>
      <c r="B401" s="171" t="s">
        <v>991</v>
      </c>
      <c r="C401" s="200">
        <v>114141000</v>
      </c>
      <c r="D401" s="178" t="s">
        <v>1002</v>
      </c>
      <c r="E401" s="180">
        <v>13143159</v>
      </c>
      <c r="F401" s="120">
        <v>0</v>
      </c>
    </row>
    <row r="402" spans="1:6" ht="12">
      <c r="A402" s="190">
        <v>240314</v>
      </c>
      <c r="B402" s="171" t="s">
        <v>991</v>
      </c>
      <c r="C402" s="200">
        <v>114444000</v>
      </c>
      <c r="D402" s="178" t="s">
        <v>1003</v>
      </c>
      <c r="E402" s="180">
        <v>8882520</v>
      </c>
      <c r="F402" s="120">
        <v>0</v>
      </c>
    </row>
    <row r="403" spans="1:6" ht="12">
      <c r="A403" s="190">
        <v>240314</v>
      </c>
      <c r="B403" s="171" t="s">
        <v>991</v>
      </c>
      <c r="C403" s="200">
        <v>114747000</v>
      </c>
      <c r="D403" s="178" t="s">
        <v>1004</v>
      </c>
      <c r="E403" s="180">
        <v>15436804</v>
      </c>
      <c r="F403" s="120">
        <v>0</v>
      </c>
    </row>
    <row r="404" spans="1:6" ht="12">
      <c r="A404" s="190">
        <v>240314</v>
      </c>
      <c r="B404" s="171" t="s">
        <v>991</v>
      </c>
      <c r="C404" s="200">
        <v>115050000</v>
      </c>
      <c r="D404" s="178" t="s">
        <v>1005</v>
      </c>
      <c r="E404" s="180">
        <v>7364564</v>
      </c>
      <c r="F404" s="120">
        <v>0</v>
      </c>
    </row>
    <row r="405" spans="1:6" ht="12">
      <c r="A405" s="190">
        <v>240314</v>
      </c>
      <c r="B405" s="171" t="s">
        <v>991</v>
      </c>
      <c r="C405" s="200">
        <v>115252000</v>
      </c>
      <c r="D405" s="178" t="s">
        <v>1006</v>
      </c>
      <c r="E405" s="180">
        <v>24730978</v>
      </c>
      <c r="F405" s="120">
        <v>0</v>
      </c>
    </row>
    <row r="406" spans="1:6" ht="12">
      <c r="A406" s="190">
        <v>240314</v>
      </c>
      <c r="B406" s="171" t="s">
        <v>991</v>
      </c>
      <c r="C406" s="200">
        <v>115454000</v>
      </c>
      <c r="D406" s="178" t="s">
        <v>1007</v>
      </c>
      <c r="E406" s="180">
        <v>12967816</v>
      </c>
      <c r="F406" s="120">
        <v>0</v>
      </c>
    </row>
    <row r="407" spans="1:6" ht="12">
      <c r="A407" s="190">
        <v>240314</v>
      </c>
      <c r="B407" s="171" t="s">
        <v>991</v>
      </c>
      <c r="C407" s="200">
        <v>116363000</v>
      </c>
      <c r="D407" s="178" t="s">
        <v>1008</v>
      </c>
      <c r="E407" s="180">
        <v>4695703</v>
      </c>
      <c r="F407" s="120">
        <v>0</v>
      </c>
    </row>
    <row r="408" spans="1:6" ht="12">
      <c r="A408" s="190">
        <v>240314</v>
      </c>
      <c r="B408" s="171" t="s">
        <v>991</v>
      </c>
      <c r="C408" s="200">
        <v>116666000</v>
      </c>
      <c r="D408" s="178" t="s">
        <v>1009</v>
      </c>
      <c r="E408" s="180">
        <v>5932569</v>
      </c>
      <c r="F408" s="120">
        <v>0</v>
      </c>
    </row>
    <row r="409" spans="1:6" ht="12">
      <c r="A409" s="190">
        <v>240314</v>
      </c>
      <c r="B409" s="171" t="s">
        <v>991</v>
      </c>
      <c r="C409" s="200">
        <v>116868000</v>
      </c>
      <c r="D409" s="178" t="s">
        <v>1010</v>
      </c>
      <c r="E409" s="180">
        <v>20363392</v>
      </c>
      <c r="F409" s="120">
        <v>0</v>
      </c>
    </row>
    <row r="410" spans="1:6" ht="12">
      <c r="A410" s="190">
        <v>240314</v>
      </c>
      <c r="B410" s="171" t="s">
        <v>991</v>
      </c>
      <c r="C410" s="200">
        <v>117070000</v>
      </c>
      <c r="D410" s="178" t="s">
        <v>1011</v>
      </c>
      <c r="E410" s="180">
        <v>12468414</v>
      </c>
      <c r="F410" s="120">
        <v>0</v>
      </c>
    </row>
    <row r="411" spans="1:6" ht="12">
      <c r="A411" s="190">
        <v>240314</v>
      </c>
      <c r="B411" s="171" t="s">
        <v>991</v>
      </c>
      <c r="C411" s="200">
        <v>117373000</v>
      </c>
      <c r="D411" s="178" t="s">
        <v>1012</v>
      </c>
      <c r="E411" s="180">
        <v>18571352</v>
      </c>
      <c r="F411" s="120">
        <v>0</v>
      </c>
    </row>
    <row r="412" spans="1:6" ht="12">
      <c r="A412" s="190">
        <v>240314</v>
      </c>
      <c r="B412" s="171" t="s">
        <v>991</v>
      </c>
      <c r="C412" s="200">
        <v>117676000</v>
      </c>
      <c r="D412" s="178" t="s">
        <v>1013</v>
      </c>
      <c r="E412" s="180">
        <v>20335721</v>
      </c>
      <c r="F412" s="120">
        <v>0</v>
      </c>
    </row>
    <row r="413" spans="1:6" ht="12">
      <c r="A413" s="190">
        <v>240314</v>
      </c>
      <c r="B413" s="171" t="s">
        <v>991</v>
      </c>
      <c r="C413" s="200">
        <v>118181000</v>
      </c>
      <c r="D413" s="178" t="s">
        <v>1014</v>
      </c>
      <c r="E413" s="180">
        <v>5530854</v>
      </c>
      <c r="F413" s="120">
        <v>0</v>
      </c>
    </row>
    <row r="414" spans="1:6" ht="12">
      <c r="A414" s="190">
        <v>240314</v>
      </c>
      <c r="B414" s="171" t="s">
        <v>991</v>
      </c>
      <c r="C414" s="200">
        <v>118585000</v>
      </c>
      <c r="D414" s="178" t="s">
        <v>1015</v>
      </c>
      <c r="E414" s="180">
        <v>6301408</v>
      </c>
      <c r="F414" s="120">
        <v>0</v>
      </c>
    </row>
    <row r="415" spans="1:6" ht="12">
      <c r="A415" s="190">
        <v>240314</v>
      </c>
      <c r="B415" s="171" t="s">
        <v>991</v>
      </c>
      <c r="C415" s="200">
        <v>118686000</v>
      </c>
      <c r="D415" s="178" t="s">
        <v>1016</v>
      </c>
      <c r="E415" s="180">
        <v>8337913</v>
      </c>
      <c r="F415" s="120">
        <v>0</v>
      </c>
    </row>
    <row r="416" spans="1:6" ht="12">
      <c r="A416" s="190">
        <v>240314</v>
      </c>
      <c r="B416" s="171" t="s">
        <v>991</v>
      </c>
      <c r="C416" s="200">
        <v>118888000</v>
      </c>
      <c r="D416" s="178" t="s">
        <v>1017</v>
      </c>
      <c r="E416" s="180">
        <v>1411914</v>
      </c>
      <c r="F416" s="120">
        <v>0</v>
      </c>
    </row>
    <row r="417" spans="1:6" ht="12">
      <c r="A417" s="190">
        <v>240314</v>
      </c>
      <c r="B417" s="171" t="s">
        <v>991</v>
      </c>
      <c r="C417" s="200">
        <v>119191000</v>
      </c>
      <c r="D417" s="178" t="s">
        <v>1018</v>
      </c>
      <c r="E417" s="180">
        <v>2823512</v>
      </c>
      <c r="F417" s="120">
        <v>0</v>
      </c>
    </row>
    <row r="418" spans="1:6" ht="12">
      <c r="A418" s="190">
        <v>240314</v>
      </c>
      <c r="B418" s="171" t="s">
        <v>991</v>
      </c>
      <c r="C418" s="200">
        <v>119494000</v>
      </c>
      <c r="D418" s="178" t="s">
        <v>1019</v>
      </c>
      <c r="E418" s="180">
        <v>1416960</v>
      </c>
      <c r="F418" s="120">
        <v>0</v>
      </c>
    </row>
    <row r="419" spans="1:6" ht="12">
      <c r="A419" s="190">
        <v>240314</v>
      </c>
      <c r="B419" s="171" t="s">
        <v>991</v>
      </c>
      <c r="C419" s="200">
        <v>119595000</v>
      </c>
      <c r="D419" s="178" t="s">
        <v>1020</v>
      </c>
      <c r="E419" s="180">
        <v>3064975</v>
      </c>
      <c r="F419" s="120">
        <v>0</v>
      </c>
    </row>
    <row r="420" spans="1:6" ht="12">
      <c r="A420" s="190">
        <v>240314</v>
      </c>
      <c r="B420" s="171" t="s">
        <v>991</v>
      </c>
      <c r="C420" s="200">
        <v>119797000</v>
      </c>
      <c r="D420" s="178" t="s">
        <v>1021</v>
      </c>
      <c r="E420" s="180">
        <v>1355798</v>
      </c>
      <c r="F420" s="120">
        <v>0</v>
      </c>
    </row>
    <row r="421" spans="1:6" ht="12">
      <c r="A421" s="190">
        <v>240314</v>
      </c>
      <c r="B421" s="171" t="s">
        <v>991</v>
      </c>
      <c r="C421" s="200">
        <v>119999000</v>
      </c>
      <c r="D421" s="178" t="s">
        <v>1022</v>
      </c>
      <c r="E421" s="180">
        <v>2290572</v>
      </c>
      <c r="F421" s="120">
        <v>0</v>
      </c>
    </row>
    <row r="422" spans="1:6" ht="12">
      <c r="A422" s="190">
        <v>240314</v>
      </c>
      <c r="B422" s="171" t="s">
        <v>991</v>
      </c>
      <c r="C422" s="200">
        <v>210111001</v>
      </c>
      <c r="D422" s="178" t="s">
        <v>2760</v>
      </c>
      <c r="E422" s="180">
        <v>74596264</v>
      </c>
      <c r="F422" s="120">
        <v>0</v>
      </c>
    </row>
    <row r="423" spans="1:6" ht="12">
      <c r="A423" s="190">
        <v>240314</v>
      </c>
      <c r="B423" s="171" t="s">
        <v>991</v>
      </c>
      <c r="C423" s="200">
        <v>210108001</v>
      </c>
      <c r="D423" s="178" t="s">
        <v>1023</v>
      </c>
      <c r="E423" s="180">
        <v>14186589</v>
      </c>
      <c r="F423" s="120">
        <v>0</v>
      </c>
    </row>
    <row r="424" spans="1:6" ht="12">
      <c r="A424" s="190">
        <v>240314</v>
      </c>
      <c r="B424" s="171" t="s">
        <v>991</v>
      </c>
      <c r="C424" s="200">
        <v>210113001</v>
      </c>
      <c r="D424" s="178" t="s">
        <v>1024</v>
      </c>
      <c r="E424" s="180">
        <v>13873778</v>
      </c>
      <c r="F424" s="120">
        <v>0</v>
      </c>
    </row>
    <row r="425" spans="1:6" ht="12">
      <c r="A425" s="190">
        <v>240314</v>
      </c>
      <c r="B425" s="171" t="s">
        <v>991</v>
      </c>
      <c r="C425" s="200">
        <v>210147001</v>
      </c>
      <c r="D425" s="178" t="s">
        <v>1025</v>
      </c>
      <c r="E425" s="180">
        <v>6420201</v>
      </c>
      <c r="F425" s="120">
        <v>0</v>
      </c>
    </row>
    <row r="426" spans="1:6" ht="12">
      <c r="A426" s="190">
        <v>240314</v>
      </c>
      <c r="B426" s="171" t="s">
        <v>991</v>
      </c>
      <c r="C426" s="200" t="s">
        <v>1026</v>
      </c>
      <c r="D426" s="179" t="s">
        <v>1027</v>
      </c>
      <c r="E426" s="180">
        <v>27000313</v>
      </c>
      <c r="F426" s="120">
        <v>0</v>
      </c>
    </row>
    <row r="427" spans="1:6" ht="12">
      <c r="A427" s="190">
        <v>240314</v>
      </c>
      <c r="B427" s="171" t="s">
        <v>991</v>
      </c>
      <c r="C427" s="200" t="s">
        <v>1028</v>
      </c>
      <c r="D427" s="179" t="s">
        <v>1029</v>
      </c>
      <c r="E427" s="180">
        <v>4524186</v>
      </c>
      <c r="F427" s="120">
        <v>0</v>
      </c>
    </row>
    <row r="428" spans="1:6" ht="12">
      <c r="A428" s="190">
        <v>240314</v>
      </c>
      <c r="B428" s="171" t="s">
        <v>991</v>
      </c>
      <c r="C428" s="200" t="s">
        <v>1030</v>
      </c>
      <c r="D428" s="179" t="s">
        <v>1031</v>
      </c>
      <c r="E428" s="180">
        <v>1394122</v>
      </c>
      <c r="F428" s="120">
        <v>0</v>
      </c>
    </row>
    <row r="429" spans="1:6" ht="12">
      <c r="A429" s="190">
        <v>240314</v>
      </c>
      <c r="B429" s="171" t="s">
        <v>991</v>
      </c>
      <c r="C429" s="200">
        <v>216005360</v>
      </c>
      <c r="D429" s="179" t="s">
        <v>1032</v>
      </c>
      <c r="E429" s="180">
        <v>2794878</v>
      </c>
      <c r="F429" s="120">
        <v>0</v>
      </c>
    </row>
    <row r="430" spans="1:6" ht="12">
      <c r="A430" s="190">
        <v>240314</v>
      </c>
      <c r="B430" s="171" t="s">
        <v>991</v>
      </c>
      <c r="C430" s="200" t="s">
        <v>1033</v>
      </c>
      <c r="D430" s="179" t="s">
        <v>1034</v>
      </c>
      <c r="E430" s="180">
        <v>2985027</v>
      </c>
      <c r="F430" s="120">
        <v>0</v>
      </c>
    </row>
    <row r="431" spans="1:6" ht="12">
      <c r="A431" s="190">
        <v>240314</v>
      </c>
      <c r="B431" s="171" t="s">
        <v>991</v>
      </c>
      <c r="C431" s="200" t="s">
        <v>1035</v>
      </c>
      <c r="D431" s="179" t="s">
        <v>1036</v>
      </c>
      <c r="E431" s="180">
        <v>3636478</v>
      </c>
      <c r="F431" s="120">
        <v>0</v>
      </c>
    </row>
    <row r="432" spans="1:6" ht="12">
      <c r="A432" s="190">
        <v>240314</v>
      </c>
      <c r="B432" s="171" t="s">
        <v>991</v>
      </c>
      <c r="C432" s="200" t="s">
        <v>1037</v>
      </c>
      <c r="D432" s="179" t="s">
        <v>1038</v>
      </c>
      <c r="E432" s="180">
        <v>2290267</v>
      </c>
      <c r="F432" s="120">
        <v>0</v>
      </c>
    </row>
    <row r="433" spans="1:6" ht="12">
      <c r="A433" s="190">
        <v>240314</v>
      </c>
      <c r="B433" s="171" t="s">
        <v>991</v>
      </c>
      <c r="C433" s="200" t="s">
        <v>1039</v>
      </c>
      <c r="D433" s="179" t="s">
        <v>1040</v>
      </c>
      <c r="E433" s="180">
        <v>3152589</v>
      </c>
      <c r="F433" s="120">
        <v>0</v>
      </c>
    </row>
    <row r="434" spans="1:6" ht="12">
      <c r="A434" s="190">
        <v>240314</v>
      </c>
      <c r="B434" s="171" t="s">
        <v>991</v>
      </c>
      <c r="C434" s="200" t="s">
        <v>1041</v>
      </c>
      <c r="D434" s="179" t="s">
        <v>1042</v>
      </c>
      <c r="E434" s="180">
        <v>2120766</v>
      </c>
      <c r="F434" s="120">
        <v>0</v>
      </c>
    </row>
    <row r="435" spans="1:6" ht="12">
      <c r="A435" s="190">
        <v>240314</v>
      </c>
      <c r="B435" s="171" t="s">
        <v>991</v>
      </c>
      <c r="C435" s="200">
        <v>215915759</v>
      </c>
      <c r="D435" s="179" t="s">
        <v>1043</v>
      </c>
      <c r="E435" s="180">
        <v>2105446</v>
      </c>
      <c r="F435" s="120">
        <v>0</v>
      </c>
    </row>
    <row r="436" spans="1:6" ht="12">
      <c r="A436" s="190">
        <v>240314</v>
      </c>
      <c r="B436" s="171" t="s">
        <v>991</v>
      </c>
      <c r="C436" s="200" t="s">
        <v>1044</v>
      </c>
      <c r="D436" s="179" t="s">
        <v>1045</v>
      </c>
      <c r="E436" s="180">
        <v>6434565</v>
      </c>
      <c r="F436" s="120">
        <v>0</v>
      </c>
    </row>
    <row r="437" spans="1:6" ht="12">
      <c r="A437" s="190">
        <v>240314</v>
      </c>
      <c r="B437" s="171" t="s">
        <v>991</v>
      </c>
      <c r="C437" s="200" t="s">
        <v>1046</v>
      </c>
      <c r="D437" s="179" t="s">
        <v>1047</v>
      </c>
      <c r="E437" s="180">
        <v>3342946</v>
      </c>
      <c r="F437" s="120">
        <v>0</v>
      </c>
    </row>
    <row r="438" spans="1:6" ht="12">
      <c r="A438" s="190">
        <v>240314</v>
      </c>
      <c r="B438" s="171" t="s">
        <v>991</v>
      </c>
      <c r="C438" s="200" t="s">
        <v>1048</v>
      </c>
      <c r="D438" s="179" t="s">
        <v>1049</v>
      </c>
      <c r="E438" s="180">
        <v>4398355</v>
      </c>
      <c r="F438" s="120">
        <v>0</v>
      </c>
    </row>
    <row r="439" spans="1:6" ht="12">
      <c r="A439" s="190">
        <v>240314</v>
      </c>
      <c r="B439" s="171" t="s">
        <v>991</v>
      </c>
      <c r="C439" s="200" t="s">
        <v>1050</v>
      </c>
      <c r="D439" s="179" t="s">
        <v>1051</v>
      </c>
      <c r="E439" s="180">
        <v>5562725</v>
      </c>
      <c r="F439" s="120">
        <v>0</v>
      </c>
    </row>
    <row r="440" spans="1:6" ht="12">
      <c r="A440" s="190">
        <v>240314</v>
      </c>
      <c r="B440" s="171" t="s">
        <v>991</v>
      </c>
      <c r="C440" s="200">
        <v>210123001</v>
      </c>
      <c r="D440" s="179" t="s">
        <v>1052</v>
      </c>
      <c r="E440" s="180">
        <v>6703196</v>
      </c>
      <c r="F440" s="120">
        <v>0</v>
      </c>
    </row>
    <row r="441" spans="1:6" ht="12">
      <c r="A441" s="190">
        <v>240314</v>
      </c>
      <c r="B441" s="171" t="s">
        <v>991</v>
      </c>
      <c r="C441" s="200" t="s">
        <v>1053</v>
      </c>
      <c r="D441" s="179" t="s">
        <v>1054</v>
      </c>
      <c r="E441" s="180">
        <v>2242187</v>
      </c>
      <c r="F441" s="120">
        <v>0</v>
      </c>
    </row>
    <row r="442" spans="1:6" ht="12">
      <c r="A442" s="190">
        <v>240314</v>
      </c>
      <c r="B442" s="171" t="s">
        <v>991</v>
      </c>
      <c r="C442" s="200" t="s">
        <v>1055</v>
      </c>
      <c r="D442" s="179" t="s">
        <v>1056</v>
      </c>
      <c r="E442" s="180">
        <v>1910746</v>
      </c>
      <c r="F442" s="120">
        <v>0</v>
      </c>
    </row>
    <row r="443" spans="1:6" ht="12">
      <c r="A443" s="190">
        <v>240314</v>
      </c>
      <c r="B443" s="171" t="s">
        <v>991</v>
      </c>
      <c r="C443" s="200" t="s">
        <v>1057</v>
      </c>
      <c r="D443" s="179" t="s">
        <v>1058</v>
      </c>
      <c r="E443" s="180">
        <v>1569806</v>
      </c>
      <c r="F443" s="120">
        <v>0</v>
      </c>
    </row>
    <row r="444" spans="1:6" ht="12">
      <c r="A444" s="190">
        <v>240314</v>
      </c>
      <c r="B444" s="171" t="s">
        <v>991</v>
      </c>
      <c r="C444" s="200" t="s">
        <v>1059</v>
      </c>
      <c r="D444" s="179" t="s">
        <v>1060</v>
      </c>
      <c r="E444" s="180">
        <v>1210832</v>
      </c>
      <c r="F444" s="120">
        <v>0</v>
      </c>
    </row>
    <row r="445" spans="1:6" ht="12">
      <c r="A445" s="190">
        <v>240314</v>
      </c>
      <c r="B445" s="171" t="s">
        <v>991</v>
      </c>
      <c r="C445" s="200" t="s">
        <v>1061</v>
      </c>
      <c r="D445" s="179" t="s">
        <v>1062</v>
      </c>
      <c r="E445" s="180">
        <v>4903897</v>
      </c>
      <c r="F445" s="120">
        <v>0</v>
      </c>
    </row>
    <row r="446" spans="1:6" ht="12">
      <c r="A446" s="190">
        <v>240314</v>
      </c>
      <c r="B446" s="171" t="s">
        <v>991</v>
      </c>
      <c r="C446" s="200" t="s">
        <v>1063</v>
      </c>
      <c r="D446" s="179" t="s">
        <v>1064</v>
      </c>
      <c r="E446" s="180">
        <v>6101413</v>
      </c>
      <c r="F446" s="120">
        <v>0</v>
      </c>
    </row>
    <row r="447" spans="1:6" ht="12">
      <c r="A447" s="190">
        <v>240314</v>
      </c>
      <c r="B447" s="171" t="s">
        <v>991</v>
      </c>
      <c r="C447" s="200" t="s">
        <v>1065</v>
      </c>
      <c r="D447" s="179" t="s">
        <v>1066</v>
      </c>
      <c r="E447" s="180">
        <v>2475352</v>
      </c>
      <c r="F447" s="120">
        <v>0</v>
      </c>
    </row>
    <row r="448" spans="1:6" ht="12">
      <c r="A448" s="190">
        <v>240314</v>
      </c>
      <c r="B448" s="171" t="s">
        <v>991</v>
      </c>
      <c r="C448" s="200" t="s">
        <v>1067</v>
      </c>
      <c r="D448" s="179" t="s">
        <v>1068</v>
      </c>
      <c r="E448" s="180">
        <v>2190355</v>
      </c>
      <c r="F448" s="120">
        <v>0</v>
      </c>
    </row>
    <row r="449" spans="1:6" ht="12">
      <c r="A449" s="190">
        <v>240314</v>
      </c>
      <c r="B449" s="171" t="s">
        <v>991</v>
      </c>
      <c r="C449" s="200">
        <v>210150001</v>
      </c>
      <c r="D449" s="179" t="s">
        <v>1069</v>
      </c>
      <c r="E449" s="180">
        <v>6453296</v>
      </c>
      <c r="F449" s="120">
        <v>0</v>
      </c>
    </row>
    <row r="450" spans="1:6" ht="12">
      <c r="A450" s="190">
        <v>240314</v>
      </c>
      <c r="B450" s="171" t="s">
        <v>991</v>
      </c>
      <c r="C450" s="200" t="s">
        <v>1070</v>
      </c>
      <c r="D450" s="179" t="s">
        <v>1071</v>
      </c>
      <c r="E450" s="180">
        <v>7207694</v>
      </c>
      <c r="F450" s="120">
        <v>0</v>
      </c>
    </row>
    <row r="451" spans="1:6" ht="12">
      <c r="A451" s="190">
        <v>240314</v>
      </c>
      <c r="B451" s="171" t="s">
        <v>991</v>
      </c>
      <c r="C451" s="200">
        <v>213552835</v>
      </c>
      <c r="D451" s="179" t="s">
        <v>1072</v>
      </c>
      <c r="E451" s="180">
        <v>3823058</v>
      </c>
      <c r="F451" s="120">
        <v>0</v>
      </c>
    </row>
    <row r="452" spans="1:6" ht="12">
      <c r="A452" s="190">
        <v>240314</v>
      </c>
      <c r="B452" s="171" t="s">
        <v>991</v>
      </c>
      <c r="C452" s="200">
        <v>210154001</v>
      </c>
      <c r="D452" s="179" t="s">
        <v>1073</v>
      </c>
      <c r="E452" s="180">
        <v>9869703</v>
      </c>
      <c r="F452" s="120">
        <v>0</v>
      </c>
    </row>
    <row r="453" spans="1:6" ht="12">
      <c r="A453" s="190">
        <v>240314</v>
      </c>
      <c r="B453" s="171" t="s">
        <v>991</v>
      </c>
      <c r="C453" s="200">
        <v>210163001</v>
      </c>
      <c r="D453" s="179" t="s">
        <v>1074</v>
      </c>
      <c r="E453" s="180">
        <v>4204449</v>
      </c>
      <c r="F453" s="120">
        <v>0</v>
      </c>
    </row>
    <row r="454" spans="1:6" ht="12">
      <c r="A454" s="190">
        <v>240314</v>
      </c>
      <c r="B454" s="171" t="s">
        <v>991</v>
      </c>
      <c r="C454" s="200">
        <v>210166001</v>
      </c>
      <c r="D454" s="179" t="s">
        <v>1075</v>
      </c>
      <c r="E454" s="180">
        <v>6593663</v>
      </c>
      <c r="F454" s="120">
        <v>0</v>
      </c>
    </row>
    <row r="455" spans="1:6" ht="12">
      <c r="A455" s="190">
        <v>240314</v>
      </c>
      <c r="B455" s="171" t="s">
        <v>991</v>
      </c>
      <c r="C455" s="200">
        <v>217066170</v>
      </c>
      <c r="D455" s="179" t="s">
        <v>1076</v>
      </c>
      <c r="E455" s="180">
        <v>2414651</v>
      </c>
      <c r="F455" s="120">
        <v>0</v>
      </c>
    </row>
    <row r="456" spans="1:6" ht="12">
      <c r="A456" s="190">
        <v>240314</v>
      </c>
      <c r="B456" s="171" t="s">
        <v>991</v>
      </c>
      <c r="C456" s="200" t="s">
        <v>1077</v>
      </c>
      <c r="D456" s="179" t="s">
        <v>1078</v>
      </c>
      <c r="E456" s="180">
        <v>8150832</v>
      </c>
      <c r="F456" s="120">
        <v>0</v>
      </c>
    </row>
    <row r="457" spans="1:6" ht="12">
      <c r="A457" s="190">
        <v>240314</v>
      </c>
      <c r="B457" s="171" t="s">
        <v>991</v>
      </c>
      <c r="C457" s="200" t="s">
        <v>1079</v>
      </c>
      <c r="D457" s="179" t="s">
        <v>1080</v>
      </c>
      <c r="E457" s="180">
        <v>3057650</v>
      </c>
      <c r="F457" s="120">
        <v>0</v>
      </c>
    </row>
    <row r="458" spans="1:6" ht="12">
      <c r="A458" s="190">
        <v>240314</v>
      </c>
      <c r="B458" s="171" t="s">
        <v>991</v>
      </c>
      <c r="C458" s="200" t="s">
        <v>1081</v>
      </c>
      <c r="D458" s="179" t="s">
        <v>1082</v>
      </c>
      <c r="E458" s="180">
        <v>3205880</v>
      </c>
      <c r="F458" s="120">
        <v>0</v>
      </c>
    </row>
    <row r="459" spans="1:6" ht="12">
      <c r="A459" s="190">
        <v>240314</v>
      </c>
      <c r="B459" s="171" t="s">
        <v>991</v>
      </c>
      <c r="C459" s="200" t="s">
        <v>1083</v>
      </c>
      <c r="D459" s="179" t="s">
        <v>1084</v>
      </c>
      <c r="E459" s="180">
        <v>1744993</v>
      </c>
      <c r="F459" s="120">
        <v>0</v>
      </c>
    </row>
    <row r="460" spans="1:6" ht="12">
      <c r="A460" s="190">
        <v>240314</v>
      </c>
      <c r="B460" s="171" t="s">
        <v>991</v>
      </c>
      <c r="C460" s="200">
        <v>210170001</v>
      </c>
      <c r="D460" s="179" t="s">
        <v>1085</v>
      </c>
      <c r="E460" s="180">
        <v>4264307</v>
      </c>
      <c r="F460" s="120">
        <v>0</v>
      </c>
    </row>
    <row r="461" spans="1:6" ht="12">
      <c r="A461" s="190">
        <v>240314</v>
      </c>
      <c r="B461" s="171" t="s">
        <v>991</v>
      </c>
      <c r="C461" s="200">
        <v>210173001</v>
      </c>
      <c r="D461" s="179" t="s">
        <v>1086</v>
      </c>
      <c r="E461" s="180">
        <v>6873731</v>
      </c>
      <c r="F461" s="120">
        <v>0</v>
      </c>
    </row>
    <row r="462" spans="1:6" ht="12">
      <c r="A462" s="190">
        <v>240314</v>
      </c>
      <c r="B462" s="171" t="s">
        <v>991</v>
      </c>
      <c r="C462" s="200">
        <v>210176001</v>
      </c>
      <c r="D462" s="179" t="s">
        <v>1087</v>
      </c>
      <c r="E462" s="180">
        <v>19145320</v>
      </c>
      <c r="F462" s="120">
        <v>0</v>
      </c>
    </row>
    <row r="463" spans="1:6" ht="12">
      <c r="A463" s="190">
        <v>240314</v>
      </c>
      <c r="B463" s="171" t="s">
        <v>991</v>
      </c>
      <c r="C463" s="200">
        <v>210976109</v>
      </c>
      <c r="D463" s="179" t="s">
        <v>1088</v>
      </c>
      <c r="E463" s="180">
        <v>6622534</v>
      </c>
      <c r="F463" s="120">
        <v>0</v>
      </c>
    </row>
    <row r="464" spans="1:6" ht="12">
      <c r="A464" s="190">
        <v>240314</v>
      </c>
      <c r="B464" s="171" t="s">
        <v>991</v>
      </c>
      <c r="C464" s="200">
        <v>211176111</v>
      </c>
      <c r="D464" s="179" t="s">
        <v>1089</v>
      </c>
      <c r="E464" s="180">
        <v>1592858</v>
      </c>
      <c r="F464" s="120">
        <v>0</v>
      </c>
    </row>
    <row r="465" spans="1:6" ht="12">
      <c r="A465" s="190">
        <v>240314</v>
      </c>
      <c r="B465" s="171" t="s">
        <v>991</v>
      </c>
      <c r="C465" s="200">
        <v>214776147</v>
      </c>
      <c r="D465" s="179" t="s">
        <v>1090</v>
      </c>
      <c r="E465" s="180">
        <v>1778892</v>
      </c>
      <c r="F465" s="120">
        <v>0</v>
      </c>
    </row>
    <row r="466" spans="1:6" ht="12">
      <c r="A466" s="190">
        <v>240314</v>
      </c>
      <c r="B466" s="171" t="s">
        <v>991</v>
      </c>
      <c r="C466" s="200">
        <v>212076520</v>
      </c>
      <c r="D466" s="179" t="s">
        <v>1091</v>
      </c>
      <c r="E466" s="180">
        <v>3641702</v>
      </c>
      <c r="F466" s="120">
        <v>0</v>
      </c>
    </row>
    <row r="467" spans="1:6" ht="12">
      <c r="A467" s="190">
        <v>240314</v>
      </c>
      <c r="B467" s="171" t="s">
        <v>991</v>
      </c>
      <c r="C467" s="200">
        <v>213476834</v>
      </c>
      <c r="D467" s="179" t="s">
        <v>1092</v>
      </c>
      <c r="E467" s="180">
        <v>2445821</v>
      </c>
      <c r="F467" s="120">
        <v>0</v>
      </c>
    </row>
    <row r="468" spans="1:6" ht="12">
      <c r="A468" s="190">
        <v>240314</v>
      </c>
      <c r="B468" s="171" t="s">
        <v>991</v>
      </c>
      <c r="C468" s="200" t="s">
        <v>650</v>
      </c>
      <c r="D468" s="178" t="s">
        <v>1093</v>
      </c>
      <c r="E468" s="180">
        <v>18192</v>
      </c>
      <c r="F468" s="192">
        <v>0</v>
      </c>
    </row>
    <row r="469" spans="1:6" ht="12">
      <c r="A469" s="190">
        <v>240314</v>
      </c>
      <c r="B469" s="171" t="s">
        <v>991</v>
      </c>
      <c r="C469" s="200" t="s">
        <v>1094</v>
      </c>
      <c r="D469" s="178" t="s">
        <v>1095</v>
      </c>
      <c r="E469" s="180">
        <v>2553</v>
      </c>
      <c r="F469" s="192">
        <v>0</v>
      </c>
    </row>
    <row r="470" spans="1:6" ht="12">
      <c r="A470" s="190">
        <v>240314</v>
      </c>
      <c r="B470" s="171" t="s">
        <v>991</v>
      </c>
      <c r="C470" s="200" t="s">
        <v>1096</v>
      </c>
      <c r="D470" s="178" t="s">
        <v>1097</v>
      </c>
      <c r="E470" s="180">
        <v>4342</v>
      </c>
      <c r="F470" s="192">
        <v>0</v>
      </c>
    </row>
    <row r="471" spans="1:6" ht="12">
      <c r="A471" s="190">
        <v>240314</v>
      </c>
      <c r="B471" s="171" t="s">
        <v>991</v>
      </c>
      <c r="C471" s="200" t="s">
        <v>1098</v>
      </c>
      <c r="D471" s="178" t="s">
        <v>1099</v>
      </c>
      <c r="E471" s="180">
        <v>29887</v>
      </c>
      <c r="F471" s="192">
        <v>0</v>
      </c>
    </row>
    <row r="472" spans="1:6" ht="12">
      <c r="A472" s="190">
        <v>240314</v>
      </c>
      <c r="B472" s="171" t="s">
        <v>991</v>
      </c>
      <c r="C472" s="200" t="s">
        <v>743</v>
      </c>
      <c r="D472" s="178" t="s">
        <v>1100</v>
      </c>
      <c r="E472" s="180">
        <v>24410</v>
      </c>
      <c r="F472" s="192">
        <v>0</v>
      </c>
    </row>
    <row r="473" spans="1:6" ht="12">
      <c r="A473" s="190">
        <v>240314</v>
      </c>
      <c r="B473" s="171" t="s">
        <v>991</v>
      </c>
      <c r="C473" s="200" t="s">
        <v>1101</v>
      </c>
      <c r="D473" s="178" t="s">
        <v>1102</v>
      </c>
      <c r="E473" s="180">
        <v>44506</v>
      </c>
      <c r="F473" s="192">
        <v>0</v>
      </c>
    </row>
    <row r="474" spans="1:6" ht="12">
      <c r="A474" s="190">
        <v>240314</v>
      </c>
      <c r="B474" s="171" t="s">
        <v>991</v>
      </c>
      <c r="C474" s="200" t="s">
        <v>759</v>
      </c>
      <c r="D474" s="178" t="s">
        <v>1103</v>
      </c>
      <c r="E474" s="180">
        <v>6454</v>
      </c>
      <c r="F474" s="192">
        <v>0</v>
      </c>
    </row>
    <row r="475" spans="1:6" ht="12">
      <c r="A475" s="190">
        <v>240314</v>
      </c>
      <c r="B475" s="171" t="s">
        <v>991</v>
      </c>
      <c r="C475" s="200" t="s">
        <v>1104</v>
      </c>
      <c r="D475" s="178" t="s">
        <v>1105</v>
      </c>
      <c r="E475" s="180">
        <v>13161</v>
      </c>
      <c r="F475" s="192">
        <v>0</v>
      </c>
    </row>
    <row r="476" spans="1:6" ht="12">
      <c r="A476" s="190">
        <v>240314</v>
      </c>
      <c r="B476" s="171" t="s">
        <v>991</v>
      </c>
      <c r="C476" s="200" t="s">
        <v>767</v>
      </c>
      <c r="D476" s="178" t="s">
        <v>1106</v>
      </c>
      <c r="E476" s="180">
        <v>16634</v>
      </c>
      <c r="F476" s="192">
        <v>0</v>
      </c>
    </row>
    <row r="477" spans="1:6" ht="12">
      <c r="A477" s="190">
        <v>240314</v>
      </c>
      <c r="B477" s="171" t="s">
        <v>991</v>
      </c>
      <c r="C477" s="200" t="s">
        <v>1107</v>
      </c>
      <c r="D477" s="178" t="s">
        <v>992</v>
      </c>
      <c r="E477" s="180">
        <v>26317</v>
      </c>
      <c r="F477" s="192">
        <v>0</v>
      </c>
    </row>
    <row r="478" spans="1:6" ht="12">
      <c r="A478" s="190">
        <v>240314</v>
      </c>
      <c r="B478" s="171" t="s">
        <v>991</v>
      </c>
      <c r="C478" s="200" t="s">
        <v>1108</v>
      </c>
      <c r="D478" s="178" t="s">
        <v>1109</v>
      </c>
      <c r="E478" s="180">
        <v>8257</v>
      </c>
      <c r="F478" s="192">
        <v>0</v>
      </c>
    </row>
    <row r="479" spans="1:6" ht="12">
      <c r="A479" s="190">
        <v>240314</v>
      </c>
      <c r="B479" s="171" t="s">
        <v>991</v>
      </c>
      <c r="C479" s="200" t="s">
        <v>1110</v>
      </c>
      <c r="D479" s="178" t="s">
        <v>1111</v>
      </c>
      <c r="E479" s="180">
        <v>102175</v>
      </c>
      <c r="F479" s="192">
        <v>0</v>
      </c>
    </row>
    <row r="480" spans="1:6" ht="12">
      <c r="A480" s="190">
        <v>240314</v>
      </c>
      <c r="B480" s="171" t="s">
        <v>991</v>
      </c>
      <c r="C480" s="200">
        <v>215105051</v>
      </c>
      <c r="D480" s="178" t="s">
        <v>1112</v>
      </c>
      <c r="E480" s="180">
        <v>53774</v>
      </c>
      <c r="F480" s="192">
        <v>0</v>
      </c>
    </row>
    <row r="481" spans="1:6" ht="12">
      <c r="A481" s="190">
        <v>240314</v>
      </c>
      <c r="B481" s="171" t="s">
        <v>991</v>
      </c>
      <c r="C481" s="200" t="s">
        <v>1113</v>
      </c>
      <c r="D481" s="178" t="s">
        <v>1114</v>
      </c>
      <c r="E481" s="180">
        <v>12835</v>
      </c>
      <c r="F481" s="192">
        <v>0</v>
      </c>
    </row>
    <row r="482" spans="1:6" ht="12">
      <c r="A482" s="190">
        <v>240314</v>
      </c>
      <c r="B482" s="171" t="s">
        <v>991</v>
      </c>
      <c r="C482" s="200" t="s">
        <v>1115</v>
      </c>
      <c r="D482" s="178" t="s">
        <v>1074</v>
      </c>
      <c r="E482" s="180">
        <v>6353</v>
      </c>
      <c r="F482" s="192">
        <v>0</v>
      </c>
    </row>
    <row r="483" spans="1:6" ht="12">
      <c r="A483" s="190">
        <v>240314</v>
      </c>
      <c r="B483" s="171" t="s">
        <v>991</v>
      </c>
      <c r="C483" s="200" t="s">
        <v>1116</v>
      </c>
      <c r="D483" s="178" t="s">
        <v>1117</v>
      </c>
      <c r="E483" s="180">
        <v>43814</v>
      </c>
      <c r="F483" s="192">
        <v>0</v>
      </c>
    </row>
    <row r="484" spans="1:6" ht="12">
      <c r="A484" s="190">
        <v>240314</v>
      </c>
      <c r="B484" s="171" t="s">
        <v>991</v>
      </c>
      <c r="C484" s="200" t="s">
        <v>1118</v>
      </c>
      <c r="D484" s="178" t="s">
        <v>1119</v>
      </c>
      <c r="E484" s="180">
        <v>7357</v>
      </c>
      <c r="F484" s="192">
        <v>0</v>
      </c>
    </row>
    <row r="485" spans="1:6" ht="12">
      <c r="A485" s="190">
        <v>240314</v>
      </c>
      <c r="B485" s="171" t="s">
        <v>991</v>
      </c>
      <c r="C485" s="200" t="s">
        <v>1120</v>
      </c>
      <c r="D485" s="178" t="s">
        <v>1121</v>
      </c>
      <c r="E485" s="180">
        <v>9986</v>
      </c>
      <c r="F485" s="192">
        <v>0</v>
      </c>
    </row>
    <row r="486" spans="1:6" ht="12">
      <c r="A486" s="190">
        <v>240314</v>
      </c>
      <c r="B486" s="171" t="s">
        <v>991</v>
      </c>
      <c r="C486" s="200" t="s">
        <v>1122</v>
      </c>
      <c r="D486" s="178" t="s">
        <v>1123</v>
      </c>
      <c r="E486" s="180">
        <v>17423</v>
      </c>
      <c r="F486" s="192">
        <v>0</v>
      </c>
    </row>
    <row r="487" spans="1:6" ht="12">
      <c r="A487" s="190">
        <v>240314</v>
      </c>
      <c r="B487" s="171" t="s">
        <v>991</v>
      </c>
      <c r="C487" s="200" t="s">
        <v>1124</v>
      </c>
      <c r="D487" s="178" t="s">
        <v>994</v>
      </c>
      <c r="E487" s="180">
        <v>27875</v>
      </c>
      <c r="F487" s="192">
        <v>0</v>
      </c>
    </row>
    <row r="488" spans="1:6" ht="12">
      <c r="A488" s="190">
        <v>240314</v>
      </c>
      <c r="B488" s="171" t="s">
        <v>991</v>
      </c>
      <c r="C488" s="200" t="s">
        <v>1125</v>
      </c>
      <c r="D488" s="178" t="s">
        <v>1126</v>
      </c>
      <c r="E488" s="180">
        <v>10546</v>
      </c>
      <c r="F488" s="192">
        <v>0</v>
      </c>
    </row>
    <row r="489" spans="1:6" ht="12">
      <c r="A489" s="190">
        <v>240314</v>
      </c>
      <c r="B489" s="171" t="s">
        <v>991</v>
      </c>
      <c r="C489" s="200" t="s">
        <v>1127</v>
      </c>
      <c r="D489" s="178" t="s">
        <v>1128</v>
      </c>
      <c r="E489" s="180">
        <v>8153</v>
      </c>
      <c r="F489" s="192">
        <v>0</v>
      </c>
    </row>
    <row r="490" spans="1:6" ht="12">
      <c r="A490" s="190">
        <v>240314</v>
      </c>
      <c r="B490" s="171" t="s">
        <v>991</v>
      </c>
      <c r="C490" s="200" t="s">
        <v>1129</v>
      </c>
      <c r="D490" s="178" t="s">
        <v>1130</v>
      </c>
      <c r="E490" s="180">
        <v>38041</v>
      </c>
      <c r="F490" s="192">
        <v>0</v>
      </c>
    </row>
    <row r="491" spans="1:6" ht="12">
      <c r="A491" s="190">
        <v>240314</v>
      </c>
      <c r="B491" s="171" t="s">
        <v>991</v>
      </c>
      <c r="C491" s="200" t="s">
        <v>1131</v>
      </c>
      <c r="D491" s="178" t="s">
        <v>1132</v>
      </c>
      <c r="E491" s="180">
        <v>10278</v>
      </c>
      <c r="F491" s="192">
        <v>0</v>
      </c>
    </row>
    <row r="492" spans="1:6" ht="12">
      <c r="A492" s="190">
        <v>240314</v>
      </c>
      <c r="B492" s="171" t="s">
        <v>991</v>
      </c>
      <c r="C492" s="200" t="s">
        <v>1133</v>
      </c>
      <c r="D492" s="178" t="s">
        <v>996</v>
      </c>
      <c r="E492" s="180">
        <v>56274</v>
      </c>
      <c r="F492" s="192">
        <v>0</v>
      </c>
    </row>
    <row r="493" spans="1:6" ht="12">
      <c r="A493" s="190">
        <v>240314</v>
      </c>
      <c r="B493" s="171" t="s">
        <v>991</v>
      </c>
      <c r="C493" s="200" t="s">
        <v>1134</v>
      </c>
      <c r="D493" s="178" t="s">
        <v>1135</v>
      </c>
      <c r="E493" s="180">
        <v>10267</v>
      </c>
      <c r="F493" s="192">
        <v>0</v>
      </c>
    </row>
    <row r="494" spans="1:6" ht="12">
      <c r="A494" s="190">
        <v>240314</v>
      </c>
      <c r="B494" s="171" t="s">
        <v>991</v>
      </c>
      <c r="C494" s="200" t="s">
        <v>1136</v>
      </c>
      <c r="D494" s="178" t="s">
        <v>1137</v>
      </c>
      <c r="E494" s="180">
        <v>22674</v>
      </c>
      <c r="F494" s="192">
        <v>0</v>
      </c>
    </row>
    <row r="495" spans="1:6" ht="12">
      <c r="A495" s="190">
        <v>240314</v>
      </c>
      <c r="B495" s="171" t="s">
        <v>991</v>
      </c>
      <c r="C495" s="200" t="s">
        <v>1138</v>
      </c>
      <c r="D495" s="178" t="s">
        <v>1139</v>
      </c>
      <c r="E495" s="180">
        <v>6086</v>
      </c>
      <c r="F495" s="192">
        <v>0</v>
      </c>
    </row>
    <row r="496" spans="1:6" ht="12">
      <c r="A496" s="190">
        <v>240314</v>
      </c>
      <c r="B496" s="171" t="s">
        <v>991</v>
      </c>
      <c r="C496" s="200" t="s">
        <v>1140</v>
      </c>
      <c r="D496" s="178" t="s">
        <v>1141</v>
      </c>
      <c r="E496" s="180">
        <v>6181</v>
      </c>
      <c r="F496" s="192">
        <v>0</v>
      </c>
    </row>
    <row r="497" spans="1:6" ht="12">
      <c r="A497" s="190">
        <v>240314</v>
      </c>
      <c r="B497" s="171" t="s">
        <v>991</v>
      </c>
      <c r="C497" s="200" t="s">
        <v>1142</v>
      </c>
      <c r="D497" s="178" t="s">
        <v>1143</v>
      </c>
      <c r="E497" s="180">
        <v>49934</v>
      </c>
      <c r="F497" s="192">
        <v>0</v>
      </c>
    </row>
    <row r="498" spans="1:6" ht="12">
      <c r="A498" s="190">
        <v>240314</v>
      </c>
      <c r="B498" s="171" t="s">
        <v>991</v>
      </c>
      <c r="C498" s="200" t="s">
        <v>1144</v>
      </c>
      <c r="D498" s="178" t="s">
        <v>1145</v>
      </c>
      <c r="E498" s="180">
        <v>44289</v>
      </c>
      <c r="F498" s="192">
        <v>0</v>
      </c>
    </row>
    <row r="499" spans="1:6" ht="12">
      <c r="A499" s="190">
        <v>240314</v>
      </c>
      <c r="B499" s="171" t="s">
        <v>991</v>
      </c>
      <c r="C499" s="200">
        <v>215005150</v>
      </c>
      <c r="D499" s="178" t="s">
        <v>1146</v>
      </c>
      <c r="E499" s="180">
        <v>5803</v>
      </c>
      <c r="F499" s="192">
        <v>0</v>
      </c>
    </row>
    <row r="500" spans="1:6" ht="12">
      <c r="A500" s="190">
        <v>240314</v>
      </c>
      <c r="B500" s="171" t="s">
        <v>991</v>
      </c>
      <c r="C500" s="200" t="s">
        <v>816</v>
      </c>
      <c r="D500" s="178" t="s">
        <v>1147</v>
      </c>
      <c r="E500" s="180">
        <v>95472</v>
      </c>
      <c r="F500" s="192">
        <v>0</v>
      </c>
    </row>
    <row r="501" spans="1:6" ht="12">
      <c r="A501" s="190">
        <v>240314</v>
      </c>
      <c r="B501" s="171" t="s">
        <v>991</v>
      </c>
      <c r="C501" s="200" t="s">
        <v>1148</v>
      </c>
      <c r="D501" s="178" t="s">
        <v>1149</v>
      </c>
      <c r="E501" s="180">
        <v>62485</v>
      </c>
      <c r="F501" s="192">
        <v>0</v>
      </c>
    </row>
    <row r="502" spans="1:6" ht="12">
      <c r="A502" s="190">
        <v>240314</v>
      </c>
      <c r="B502" s="171" t="s">
        <v>991</v>
      </c>
      <c r="C502" s="200" t="s">
        <v>1150</v>
      </c>
      <c r="D502" s="178" t="s">
        <v>1151</v>
      </c>
      <c r="E502" s="180">
        <v>11944</v>
      </c>
      <c r="F502" s="192">
        <v>0</v>
      </c>
    </row>
    <row r="503" spans="1:6" ht="12">
      <c r="A503" s="190">
        <v>240314</v>
      </c>
      <c r="B503" s="171" t="s">
        <v>991</v>
      </c>
      <c r="C503" s="200" t="s">
        <v>1152</v>
      </c>
      <c r="D503" s="178" t="s">
        <v>1153</v>
      </c>
      <c r="E503" s="180">
        <v>16642</v>
      </c>
      <c r="F503" s="192">
        <v>0</v>
      </c>
    </row>
    <row r="504" spans="1:6" ht="12">
      <c r="A504" s="190">
        <v>240314</v>
      </c>
      <c r="B504" s="171" t="s">
        <v>991</v>
      </c>
      <c r="C504" s="200" t="s">
        <v>1154</v>
      </c>
      <c r="D504" s="178" t="s">
        <v>1155</v>
      </c>
      <c r="E504" s="180">
        <v>4153</v>
      </c>
      <c r="F504" s="192">
        <v>0</v>
      </c>
    </row>
    <row r="505" spans="1:6" ht="12">
      <c r="A505" s="190">
        <v>240314</v>
      </c>
      <c r="B505" s="171" t="s">
        <v>991</v>
      </c>
      <c r="C505" s="200" t="s">
        <v>1156</v>
      </c>
      <c r="D505" s="178" t="s">
        <v>1157</v>
      </c>
      <c r="E505" s="180">
        <v>19479</v>
      </c>
      <c r="F505" s="192">
        <v>0</v>
      </c>
    </row>
    <row r="506" spans="1:6" ht="12">
      <c r="A506" s="190">
        <v>240314</v>
      </c>
      <c r="B506" s="171" t="s">
        <v>991</v>
      </c>
      <c r="C506" s="200" t="s">
        <v>1158</v>
      </c>
      <c r="D506" s="178" t="s">
        <v>1159</v>
      </c>
      <c r="E506" s="180">
        <v>65846</v>
      </c>
      <c r="F506" s="192">
        <v>0</v>
      </c>
    </row>
    <row r="507" spans="1:6" ht="12">
      <c r="A507" s="190">
        <v>240314</v>
      </c>
      <c r="B507" s="171" t="s">
        <v>991</v>
      </c>
      <c r="C507" s="200" t="s">
        <v>1160</v>
      </c>
      <c r="D507" s="178" t="s">
        <v>1161</v>
      </c>
      <c r="E507" s="180">
        <v>31302</v>
      </c>
      <c r="F507" s="192">
        <v>0</v>
      </c>
    </row>
    <row r="508" spans="1:6" ht="12">
      <c r="A508" s="190">
        <v>240314</v>
      </c>
      <c r="B508" s="171" t="s">
        <v>991</v>
      </c>
      <c r="C508" s="200" t="s">
        <v>1162</v>
      </c>
      <c r="D508" s="178" t="s">
        <v>1163</v>
      </c>
      <c r="E508" s="180">
        <v>18367</v>
      </c>
      <c r="F508" s="192">
        <v>0</v>
      </c>
    </row>
    <row r="509" spans="1:6" ht="12">
      <c r="A509" s="190">
        <v>240314</v>
      </c>
      <c r="B509" s="171" t="s">
        <v>991</v>
      </c>
      <c r="C509" s="200">
        <v>214005240</v>
      </c>
      <c r="D509" s="178" t="s">
        <v>1164</v>
      </c>
      <c r="E509" s="180">
        <v>14589</v>
      </c>
      <c r="F509" s="192">
        <v>0</v>
      </c>
    </row>
    <row r="510" spans="1:6" ht="12">
      <c r="A510" s="190">
        <v>240314</v>
      </c>
      <c r="B510" s="171" t="s">
        <v>991</v>
      </c>
      <c r="C510" s="200" t="s">
        <v>1165</v>
      </c>
      <c r="D510" s="178" t="s">
        <v>1166</v>
      </c>
      <c r="E510" s="180">
        <v>56819</v>
      </c>
      <c r="F510" s="192">
        <v>0</v>
      </c>
    </row>
    <row r="511" spans="1:6" ht="12">
      <c r="A511" s="190">
        <v>240314</v>
      </c>
      <c r="B511" s="171" t="s">
        <v>991</v>
      </c>
      <c r="C511" s="200" t="s">
        <v>1167</v>
      </c>
      <c r="D511" s="178" t="s">
        <v>1168</v>
      </c>
      <c r="E511" s="180">
        <v>9198</v>
      </c>
      <c r="F511" s="192">
        <v>0</v>
      </c>
    </row>
    <row r="512" spans="1:6" ht="12">
      <c r="A512" s="190">
        <v>240314</v>
      </c>
      <c r="B512" s="171" t="s">
        <v>991</v>
      </c>
      <c r="C512" s="200" t="s">
        <v>1169</v>
      </c>
      <c r="D512" s="178" t="s">
        <v>1170</v>
      </c>
      <c r="E512" s="180">
        <v>26340</v>
      </c>
      <c r="F512" s="192">
        <v>0</v>
      </c>
    </row>
    <row r="513" spans="1:6" ht="12">
      <c r="A513" s="190">
        <v>240314</v>
      </c>
      <c r="B513" s="171" t="s">
        <v>991</v>
      </c>
      <c r="C513" s="200" t="s">
        <v>1171</v>
      </c>
      <c r="D513" s="178" t="s">
        <v>1172</v>
      </c>
      <c r="E513" s="180">
        <v>26252</v>
      </c>
      <c r="F513" s="192">
        <v>0</v>
      </c>
    </row>
    <row r="514" spans="1:6" ht="12">
      <c r="A514" s="190">
        <v>240314</v>
      </c>
      <c r="B514" s="171" t="s">
        <v>991</v>
      </c>
      <c r="C514" s="200" t="s">
        <v>1173</v>
      </c>
      <c r="D514" s="178" t="s">
        <v>1174</v>
      </c>
      <c r="E514" s="180">
        <v>4971</v>
      </c>
      <c r="F514" s="192">
        <v>0</v>
      </c>
    </row>
    <row r="515" spans="1:6" ht="12">
      <c r="A515" s="190">
        <v>240314</v>
      </c>
      <c r="B515" s="171" t="s">
        <v>991</v>
      </c>
      <c r="C515" s="200" t="s">
        <v>1175</v>
      </c>
      <c r="D515" s="178" t="s">
        <v>1176</v>
      </c>
      <c r="E515" s="180">
        <v>35461</v>
      </c>
      <c r="F515" s="192">
        <v>0</v>
      </c>
    </row>
    <row r="516" spans="1:6" ht="12">
      <c r="A516" s="190">
        <v>240314</v>
      </c>
      <c r="B516" s="171" t="s">
        <v>991</v>
      </c>
      <c r="C516" s="200">
        <v>211005310</v>
      </c>
      <c r="D516" s="178" t="s">
        <v>1177</v>
      </c>
      <c r="E516" s="180">
        <v>11838</v>
      </c>
      <c r="F516" s="192">
        <v>0</v>
      </c>
    </row>
    <row r="517" spans="1:6" ht="12">
      <c r="A517" s="190">
        <v>240314</v>
      </c>
      <c r="B517" s="171" t="s">
        <v>991</v>
      </c>
      <c r="C517" s="200" t="s">
        <v>1178</v>
      </c>
      <c r="D517" s="178" t="s">
        <v>1179</v>
      </c>
      <c r="E517" s="180">
        <v>11253</v>
      </c>
      <c r="F517" s="192">
        <v>0</v>
      </c>
    </row>
    <row r="518" spans="1:6" ht="12">
      <c r="A518" s="190">
        <v>240314</v>
      </c>
      <c r="B518" s="171" t="s">
        <v>991</v>
      </c>
      <c r="C518" s="200" t="s">
        <v>1180</v>
      </c>
      <c r="D518" s="178" t="s">
        <v>1181</v>
      </c>
      <c r="E518" s="180">
        <v>6367</v>
      </c>
      <c r="F518" s="192">
        <v>0</v>
      </c>
    </row>
    <row r="519" spans="1:6" ht="12">
      <c r="A519" s="190">
        <v>240314</v>
      </c>
      <c r="B519" s="171" t="s">
        <v>991</v>
      </c>
      <c r="C519" s="200" t="s">
        <v>1182</v>
      </c>
      <c r="D519" s="178" t="s">
        <v>1183</v>
      </c>
      <c r="E519" s="180">
        <v>33435</v>
      </c>
      <c r="F519" s="192">
        <v>0</v>
      </c>
    </row>
    <row r="520" spans="1:6" ht="12">
      <c r="A520" s="190">
        <v>240314</v>
      </c>
      <c r="B520" s="171" t="s">
        <v>991</v>
      </c>
      <c r="C520" s="200" t="s">
        <v>1184</v>
      </c>
      <c r="D520" s="178" t="s">
        <v>1185</v>
      </c>
      <c r="E520" s="180">
        <v>6938</v>
      </c>
      <c r="F520" s="192">
        <v>0</v>
      </c>
    </row>
    <row r="521" spans="1:6" ht="12">
      <c r="A521" s="190">
        <v>240314</v>
      </c>
      <c r="B521" s="171" t="s">
        <v>991</v>
      </c>
      <c r="C521" s="200" t="s">
        <v>1186</v>
      </c>
      <c r="D521" s="178" t="s">
        <v>1187</v>
      </c>
      <c r="E521" s="180">
        <v>3997</v>
      </c>
      <c r="F521" s="192">
        <v>0</v>
      </c>
    </row>
    <row r="522" spans="1:6" ht="12">
      <c r="A522" s="190">
        <v>240314</v>
      </c>
      <c r="B522" s="171" t="s">
        <v>991</v>
      </c>
      <c r="C522" s="200" t="s">
        <v>1188</v>
      </c>
      <c r="D522" s="178" t="s">
        <v>1189</v>
      </c>
      <c r="E522" s="180">
        <v>6131</v>
      </c>
      <c r="F522" s="192">
        <v>0</v>
      </c>
    </row>
    <row r="523" spans="1:6" ht="12">
      <c r="A523" s="190">
        <v>240314</v>
      </c>
      <c r="B523" s="171" t="s">
        <v>991</v>
      </c>
      <c r="C523" s="200" t="s">
        <v>1190</v>
      </c>
      <c r="D523" s="178" t="s">
        <v>1191</v>
      </c>
      <c r="E523" s="180">
        <v>35656</v>
      </c>
      <c r="F523" s="192">
        <v>0</v>
      </c>
    </row>
    <row r="524" spans="1:6" ht="12">
      <c r="A524" s="190">
        <v>240314</v>
      </c>
      <c r="B524" s="171" t="s">
        <v>991</v>
      </c>
      <c r="C524" s="200" t="s">
        <v>1192</v>
      </c>
      <c r="D524" s="178" t="s">
        <v>1193</v>
      </c>
      <c r="E524" s="180">
        <v>14558</v>
      </c>
      <c r="F524" s="192">
        <v>0</v>
      </c>
    </row>
    <row r="525" spans="1:6" ht="12">
      <c r="A525" s="190">
        <v>240314</v>
      </c>
      <c r="B525" s="171" t="s">
        <v>991</v>
      </c>
      <c r="C525" s="200" t="s">
        <v>1194</v>
      </c>
      <c r="D525" s="178" t="s">
        <v>1195</v>
      </c>
      <c r="E525" s="180">
        <v>16848</v>
      </c>
      <c r="F525" s="192">
        <v>0</v>
      </c>
    </row>
    <row r="526" spans="1:6" ht="12">
      <c r="A526" s="190">
        <v>240314</v>
      </c>
      <c r="B526" s="171" t="s">
        <v>991</v>
      </c>
      <c r="C526" s="200">
        <v>217605376</v>
      </c>
      <c r="D526" s="178" t="s">
        <v>1196</v>
      </c>
      <c r="E526" s="180">
        <v>46052</v>
      </c>
      <c r="F526" s="192">
        <v>0</v>
      </c>
    </row>
    <row r="527" spans="1:6" ht="12">
      <c r="A527" s="190">
        <v>240314</v>
      </c>
      <c r="B527" s="171" t="s">
        <v>991</v>
      </c>
      <c r="C527" s="200" t="s">
        <v>1197</v>
      </c>
      <c r="D527" s="178" t="s">
        <v>1198</v>
      </c>
      <c r="E527" s="180">
        <v>37015</v>
      </c>
      <c r="F527" s="192">
        <v>0</v>
      </c>
    </row>
    <row r="528" spans="1:6" ht="12">
      <c r="A528" s="190">
        <v>240314</v>
      </c>
      <c r="B528" s="171" t="s">
        <v>991</v>
      </c>
      <c r="C528" s="200" t="s">
        <v>1199</v>
      </c>
      <c r="D528" s="178" t="s">
        <v>1200</v>
      </c>
      <c r="E528" s="180">
        <v>9896</v>
      </c>
      <c r="F528" s="192">
        <v>0</v>
      </c>
    </row>
    <row r="529" spans="1:6" ht="12">
      <c r="A529" s="190">
        <v>240314</v>
      </c>
      <c r="B529" s="171" t="s">
        <v>991</v>
      </c>
      <c r="C529" s="200" t="s">
        <v>1201</v>
      </c>
      <c r="D529" s="178" t="s">
        <v>1202</v>
      </c>
      <c r="E529" s="180">
        <v>18650</v>
      </c>
      <c r="F529" s="192">
        <v>0</v>
      </c>
    </row>
    <row r="530" spans="1:6" ht="12">
      <c r="A530" s="190">
        <v>240314</v>
      </c>
      <c r="B530" s="171" t="s">
        <v>991</v>
      </c>
      <c r="C530" s="200" t="s">
        <v>1203</v>
      </c>
      <c r="D530" s="178" t="s">
        <v>1204</v>
      </c>
      <c r="E530" s="180">
        <v>12222</v>
      </c>
      <c r="F530" s="192">
        <v>0</v>
      </c>
    </row>
    <row r="531" spans="1:6" ht="12">
      <c r="A531" s="190">
        <v>240314</v>
      </c>
      <c r="B531" s="171" t="s">
        <v>991</v>
      </c>
      <c r="C531" s="200" t="s">
        <v>1205</v>
      </c>
      <c r="D531" s="178" t="s">
        <v>1206</v>
      </c>
      <c r="E531" s="180">
        <v>10708</v>
      </c>
      <c r="F531" s="192">
        <v>0</v>
      </c>
    </row>
    <row r="532" spans="1:6" ht="12">
      <c r="A532" s="190">
        <v>240314</v>
      </c>
      <c r="B532" s="171" t="s">
        <v>991</v>
      </c>
      <c r="C532" s="200" t="s">
        <v>1207</v>
      </c>
      <c r="D532" s="178" t="s">
        <v>1208</v>
      </c>
      <c r="E532" s="180">
        <v>53855</v>
      </c>
      <c r="F532" s="192">
        <v>0</v>
      </c>
    </row>
    <row r="533" spans="1:6" ht="12">
      <c r="A533" s="190">
        <v>240314</v>
      </c>
      <c r="B533" s="171" t="s">
        <v>991</v>
      </c>
      <c r="C533" s="200" t="s">
        <v>1209</v>
      </c>
      <c r="D533" s="178" t="s">
        <v>1210</v>
      </c>
      <c r="E533" s="180">
        <v>6676</v>
      </c>
      <c r="F533" s="192">
        <v>0</v>
      </c>
    </row>
    <row r="534" spans="1:6" ht="12">
      <c r="A534" s="190">
        <v>240314</v>
      </c>
      <c r="B534" s="171" t="s">
        <v>991</v>
      </c>
      <c r="C534" s="200" t="s">
        <v>1211</v>
      </c>
      <c r="D534" s="178" t="s">
        <v>1212</v>
      </c>
      <c r="E534" s="180">
        <v>9215</v>
      </c>
      <c r="F534" s="192">
        <v>0</v>
      </c>
    </row>
    <row r="535" spans="1:6" ht="12">
      <c r="A535" s="190">
        <v>240314</v>
      </c>
      <c r="B535" s="171" t="s">
        <v>991</v>
      </c>
      <c r="C535" s="200" t="s">
        <v>1213</v>
      </c>
      <c r="D535" s="178" t="s">
        <v>1214</v>
      </c>
      <c r="E535" s="180">
        <v>24245</v>
      </c>
      <c r="F535" s="192">
        <v>0</v>
      </c>
    </row>
    <row r="536" spans="1:6" ht="12">
      <c r="A536" s="190">
        <v>240314</v>
      </c>
      <c r="B536" s="171" t="s">
        <v>991</v>
      </c>
      <c r="C536" s="200" t="s">
        <v>1215</v>
      </c>
      <c r="D536" s="178" t="s">
        <v>1216</v>
      </c>
      <c r="E536" s="180">
        <v>11718</v>
      </c>
      <c r="F536" s="192">
        <v>0</v>
      </c>
    </row>
    <row r="537" spans="1:6" ht="12">
      <c r="A537" s="190">
        <v>240314</v>
      </c>
      <c r="B537" s="171" t="s">
        <v>991</v>
      </c>
      <c r="C537" s="200" t="s">
        <v>1217</v>
      </c>
      <c r="D537" s="178" t="s">
        <v>1218</v>
      </c>
      <c r="E537" s="180">
        <v>78126</v>
      </c>
      <c r="F537" s="192">
        <v>0</v>
      </c>
    </row>
    <row r="538" spans="1:6" ht="12">
      <c r="A538" s="190">
        <v>240314</v>
      </c>
      <c r="B538" s="171" t="s">
        <v>991</v>
      </c>
      <c r="C538" s="200" t="s">
        <v>1219</v>
      </c>
      <c r="D538" s="178" t="s">
        <v>1220</v>
      </c>
      <c r="E538" s="180">
        <v>29266</v>
      </c>
      <c r="F538" s="192">
        <v>0</v>
      </c>
    </row>
    <row r="539" spans="1:6" ht="12">
      <c r="A539" s="190">
        <v>240314</v>
      </c>
      <c r="B539" s="171" t="s">
        <v>991</v>
      </c>
      <c r="C539" s="200" t="s">
        <v>1221</v>
      </c>
      <c r="D539" s="178" t="s">
        <v>1222</v>
      </c>
      <c r="E539" s="180">
        <v>3386</v>
      </c>
      <c r="F539" s="192">
        <v>0</v>
      </c>
    </row>
    <row r="540" spans="1:6" ht="12">
      <c r="A540" s="190">
        <v>240314</v>
      </c>
      <c r="B540" s="171" t="s">
        <v>991</v>
      </c>
      <c r="C540" s="200" t="s">
        <v>1223</v>
      </c>
      <c r="D540" s="178" t="s">
        <v>1224</v>
      </c>
      <c r="E540" s="180">
        <v>19210</v>
      </c>
      <c r="F540" s="192">
        <v>0</v>
      </c>
    </row>
    <row r="541" spans="1:6" ht="12">
      <c r="A541" s="190">
        <v>240314</v>
      </c>
      <c r="B541" s="171" t="s">
        <v>991</v>
      </c>
      <c r="C541" s="200" t="s">
        <v>1225</v>
      </c>
      <c r="D541" s="178" t="s">
        <v>1226</v>
      </c>
      <c r="E541" s="180">
        <v>11546</v>
      </c>
      <c r="F541" s="192">
        <v>0</v>
      </c>
    </row>
    <row r="542" spans="1:6" ht="12">
      <c r="A542" s="190">
        <v>240314</v>
      </c>
      <c r="B542" s="171" t="s">
        <v>991</v>
      </c>
      <c r="C542" s="200" t="s">
        <v>1227</v>
      </c>
      <c r="D542" s="178" t="s">
        <v>1228</v>
      </c>
      <c r="E542" s="180">
        <v>9068</v>
      </c>
      <c r="F542" s="192">
        <v>0</v>
      </c>
    </row>
    <row r="543" spans="1:6" ht="12">
      <c r="A543" s="190">
        <v>240314</v>
      </c>
      <c r="B543" s="171" t="s">
        <v>991</v>
      </c>
      <c r="C543" s="200" t="s">
        <v>1229</v>
      </c>
      <c r="D543" s="178" t="s">
        <v>1230</v>
      </c>
      <c r="E543" s="180">
        <v>42585</v>
      </c>
      <c r="F543" s="192">
        <v>0</v>
      </c>
    </row>
    <row r="544" spans="1:6" ht="12">
      <c r="A544" s="190">
        <v>240314</v>
      </c>
      <c r="B544" s="171" t="s">
        <v>991</v>
      </c>
      <c r="C544" s="200">
        <v>218505585</v>
      </c>
      <c r="D544" s="178" t="s">
        <v>1231</v>
      </c>
      <c r="E544" s="180">
        <v>18566</v>
      </c>
      <c r="F544" s="192">
        <v>0</v>
      </c>
    </row>
    <row r="545" spans="1:6" ht="12">
      <c r="A545" s="190">
        <v>240314</v>
      </c>
      <c r="B545" s="171" t="s">
        <v>991</v>
      </c>
      <c r="C545" s="200" t="s">
        <v>1232</v>
      </c>
      <c r="D545" s="178" t="s">
        <v>1233</v>
      </c>
      <c r="E545" s="180">
        <v>13958</v>
      </c>
      <c r="F545" s="192">
        <v>0</v>
      </c>
    </row>
    <row r="546" spans="1:6" ht="12">
      <c r="A546" s="190">
        <v>240314</v>
      </c>
      <c r="B546" s="171" t="s">
        <v>991</v>
      </c>
      <c r="C546" s="200" t="s">
        <v>1234</v>
      </c>
      <c r="D546" s="178" t="s">
        <v>1235</v>
      </c>
      <c r="E546" s="180">
        <v>24793</v>
      </c>
      <c r="F546" s="192">
        <v>0</v>
      </c>
    </row>
    <row r="547" spans="1:6" ht="12">
      <c r="A547" s="190">
        <v>240314</v>
      </c>
      <c r="B547" s="171" t="s">
        <v>991</v>
      </c>
      <c r="C547" s="200" t="s">
        <v>1236</v>
      </c>
      <c r="D547" s="178" t="s">
        <v>1237</v>
      </c>
      <c r="E547" s="180">
        <v>14492</v>
      </c>
      <c r="F547" s="192">
        <v>0</v>
      </c>
    </row>
    <row r="548" spans="1:6" ht="12">
      <c r="A548" s="190">
        <v>240314</v>
      </c>
      <c r="B548" s="171" t="s">
        <v>991</v>
      </c>
      <c r="C548" s="200" t="s">
        <v>1238</v>
      </c>
      <c r="D548" s="178" t="s">
        <v>1239</v>
      </c>
      <c r="E548" s="180">
        <v>102078</v>
      </c>
      <c r="F548" s="192">
        <v>0</v>
      </c>
    </row>
    <row r="549" spans="1:6" ht="12">
      <c r="A549" s="190">
        <v>240314</v>
      </c>
      <c r="B549" s="171" t="s">
        <v>991</v>
      </c>
      <c r="C549" s="200" t="s">
        <v>1240</v>
      </c>
      <c r="D549" s="178" t="s">
        <v>1241</v>
      </c>
      <c r="E549" s="180">
        <v>9757</v>
      </c>
      <c r="F549" s="192">
        <v>0</v>
      </c>
    </row>
    <row r="550" spans="1:6" ht="12">
      <c r="A550" s="190">
        <v>240314</v>
      </c>
      <c r="B550" s="171" t="s">
        <v>991</v>
      </c>
      <c r="C550" s="200" t="s">
        <v>1242</v>
      </c>
      <c r="D550" s="178" t="s">
        <v>1243</v>
      </c>
      <c r="E550" s="180">
        <v>37261</v>
      </c>
      <c r="F550" s="192">
        <v>0</v>
      </c>
    </row>
    <row r="551" spans="1:6" ht="12">
      <c r="A551" s="190">
        <v>240314</v>
      </c>
      <c r="B551" s="171" t="s">
        <v>991</v>
      </c>
      <c r="C551" s="200" t="s">
        <v>1244</v>
      </c>
      <c r="D551" s="178" t="s">
        <v>1245</v>
      </c>
      <c r="E551" s="180">
        <v>16956</v>
      </c>
      <c r="F551" s="192">
        <v>0</v>
      </c>
    </row>
    <row r="552" spans="1:6" ht="12">
      <c r="A552" s="190"/>
      <c r="B552" s="171" t="s">
        <v>991</v>
      </c>
      <c r="C552" s="200">
        <v>118888000</v>
      </c>
      <c r="D552" s="178" t="s">
        <v>1017</v>
      </c>
      <c r="E552" s="180">
        <v>8539</v>
      </c>
      <c r="F552" s="192">
        <v>0</v>
      </c>
    </row>
    <row r="553" spans="1:6" ht="12">
      <c r="A553" s="190">
        <v>240314</v>
      </c>
      <c r="B553" s="171" t="s">
        <v>991</v>
      </c>
      <c r="C553" s="200" t="s">
        <v>1246</v>
      </c>
      <c r="D553" s="178" t="s">
        <v>1247</v>
      </c>
      <c r="E553" s="180">
        <v>16557</v>
      </c>
      <c r="F553" s="192">
        <v>0</v>
      </c>
    </row>
    <row r="554" spans="1:6" ht="12">
      <c r="A554" s="190">
        <v>240314</v>
      </c>
      <c r="B554" s="171" t="s">
        <v>991</v>
      </c>
      <c r="C554" s="200" t="s">
        <v>1248</v>
      </c>
      <c r="D554" s="178" t="s">
        <v>1249</v>
      </c>
      <c r="E554" s="180">
        <v>7331</v>
      </c>
      <c r="F554" s="192">
        <v>0</v>
      </c>
    </row>
    <row r="555" spans="1:6" ht="12">
      <c r="A555" s="190">
        <v>240314</v>
      </c>
      <c r="B555" s="171" t="s">
        <v>991</v>
      </c>
      <c r="C555" s="200" t="s">
        <v>1250</v>
      </c>
      <c r="D555" s="178" t="s">
        <v>1251</v>
      </c>
      <c r="E555" s="180">
        <v>14467</v>
      </c>
      <c r="F555" s="192">
        <v>0</v>
      </c>
    </row>
    <row r="556" spans="1:6" ht="12">
      <c r="A556" s="190">
        <v>240314</v>
      </c>
      <c r="B556" s="171" t="s">
        <v>991</v>
      </c>
      <c r="C556" s="200" t="s">
        <v>1252</v>
      </c>
      <c r="D556" s="178" t="s">
        <v>1253</v>
      </c>
      <c r="E556" s="180">
        <v>3739</v>
      </c>
      <c r="F556" s="192">
        <v>0</v>
      </c>
    </row>
    <row r="557" spans="1:6" ht="12">
      <c r="A557" s="190">
        <v>240314</v>
      </c>
      <c r="B557" s="171" t="s">
        <v>991</v>
      </c>
      <c r="C557" s="200" t="s">
        <v>1254</v>
      </c>
      <c r="D557" s="178" t="s">
        <v>1255</v>
      </c>
      <c r="E557" s="180">
        <v>45388</v>
      </c>
      <c r="F557" s="192">
        <v>0</v>
      </c>
    </row>
    <row r="558" spans="1:6" ht="12">
      <c r="A558" s="190">
        <v>240314</v>
      </c>
      <c r="B558" s="171" t="s">
        <v>991</v>
      </c>
      <c r="C558" s="200" t="s">
        <v>1256</v>
      </c>
      <c r="D558" s="178" t="s">
        <v>1257</v>
      </c>
      <c r="E558" s="180">
        <v>13415</v>
      </c>
      <c r="F558" s="192">
        <v>0</v>
      </c>
    </row>
    <row r="559" spans="1:6" ht="12">
      <c r="A559" s="190">
        <v>240314</v>
      </c>
      <c r="B559" s="171" t="s">
        <v>991</v>
      </c>
      <c r="C559" s="200" t="s">
        <v>1258</v>
      </c>
      <c r="D559" s="178" t="s">
        <v>1259</v>
      </c>
      <c r="E559" s="180">
        <v>26612</v>
      </c>
      <c r="F559" s="192">
        <v>0</v>
      </c>
    </row>
    <row r="560" spans="1:6" ht="12">
      <c r="A560" s="190">
        <v>240314</v>
      </c>
      <c r="B560" s="171" t="s">
        <v>991</v>
      </c>
      <c r="C560" s="200" t="s">
        <v>1260</v>
      </c>
      <c r="D560" s="178" t="s">
        <v>1261</v>
      </c>
      <c r="E560" s="180">
        <v>39476</v>
      </c>
      <c r="F560" s="192">
        <v>0</v>
      </c>
    </row>
    <row r="561" spans="1:6" ht="12">
      <c r="A561" s="190">
        <v>240314</v>
      </c>
      <c r="B561" s="171" t="s">
        <v>991</v>
      </c>
      <c r="C561" s="200" t="s">
        <v>1262</v>
      </c>
      <c r="D561" s="178" t="s">
        <v>1263</v>
      </c>
      <c r="E561" s="180">
        <v>14932</v>
      </c>
      <c r="F561" s="192">
        <v>0</v>
      </c>
    </row>
    <row r="562" spans="1:6" ht="12">
      <c r="A562" s="190">
        <v>240314</v>
      </c>
      <c r="B562" s="171" t="s">
        <v>991</v>
      </c>
      <c r="C562" s="200" t="s">
        <v>1264</v>
      </c>
      <c r="D562" s="178" t="s">
        <v>1265</v>
      </c>
      <c r="E562" s="180">
        <v>22977</v>
      </c>
      <c r="F562" s="192">
        <v>0</v>
      </c>
    </row>
    <row r="563" spans="1:6" ht="12">
      <c r="A563" s="190">
        <v>240314</v>
      </c>
      <c r="B563" s="171" t="s">
        <v>991</v>
      </c>
      <c r="C563" s="200" t="s">
        <v>1266</v>
      </c>
      <c r="D563" s="178" t="s">
        <v>1267</v>
      </c>
      <c r="E563" s="180">
        <v>20794</v>
      </c>
      <c r="F563" s="192">
        <v>0</v>
      </c>
    </row>
    <row r="564" spans="1:6" ht="12">
      <c r="A564" s="190">
        <v>240314</v>
      </c>
      <c r="B564" s="171" t="s">
        <v>991</v>
      </c>
      <c r="C564" s="200" t="s">
        <v>1268</v>
      </c>
      <c r="D564" s="178" t="s">
        <v>1269</v>
      </c>
      <c r="E564" s="180">
        <v>27148</v>
      </c>
      <c r="F564" s="192">
        <v>0</v>
      </c>
    </row>
    <row r="565" spans="1:6" ht="12">
      <c r="A565" s="190">
        <v>240314</v>
      </c>
      <c r="B565" s="171" t="s">
        <v>991</v>
      </c>
      <c r="C565" s="200" t="s">
        <v>1270</v>
      </c>
      <c r="D565" s="178" t="s">
        <v>1271</v>
      </c>
      <c r="E565" s="180">
        <v>36709</v>
      </c>
      <c r="F565" s="192">
        <v>0</v>
      </c>
    </row>
    <row r="566" spans="1:6" ht="12">
      <c r="A566" s="190">
        <v>240314</v>
      </c>
      <c r="B566" s="171" t="s">
        <v>991</v>
      </c>
      <c r="C566" s="200" t="s">
        <v>1272</v>
      </c>
      <c r="D566" s="178" t="s">
        <v>1273</v>
      </c>
      <c r="E566" s="180">
        <v>14821</v>
      </c>
      <c r="F566" s="192">
        <v>0</v>
      </c>
    </row>
    <row r="567" spans="1:6" ht="12">
      <c r="A567" s="190">
        <v>240314</v>
      </c>
      <c r="B567" s="171" t="s">
        <v>991</v>
      </c>
      <c r="C567" s="200" t="s">
        <v>1274</v>
      </c>
      <c r="D567" s="178" t="s">
        <v>1275</v>
      </c>
      <c r="E567" s="180">
        <v>30816</v>
      </c>
      <c r="F567" s="192">
        <v>0</v>
      </c>
    </row>
    <row r="568" spans="1:6" ht="12">
      <c r="A568" s="190">
        <v>240314</v>
      </c>
      <c r="B568" s="171" t="s">
        <v>991</v>
      </c>
      <c r="C568" s="200" t="s">
        <v>1276</v>
      </c>
      <c r="D568" s="178" t="s">
        <v>1277</v>
      </c>
      <c r="E568" s="180">
        <v>33271</v>
      </c>
      <c r="F568" s="192">
        <v>0</v>
      </c>
    </row>
    <row r="569" spans="1:6" ht="12">
      <c r="A569" s="190">
        <v>240314</v>
      </c>
      <c r="B569" s="171" t="s">
        <v>991</v>
      </c>
      <c r="C569" s="200" t="s">
        <v>1278</v>
      </c>
      <c r="D569" s="178" t="s">
        <v>1279</v>
      </c>
      <c r="E569" s="180">
        <v>42937</v>
      </c>
      <c r="F569" s="192">
        <v>0</v>
      </c>
    </row>
    <row r="570" spans="1:6" ht="12">
      <c r="A570" s="190">
        <v>240314</v>
      </c>
      <c r="B570" s="171" t="s">
        <v>991</v>
      </c>
      <c r="C570" s="200" t="s">
        <v>1280</v>
      </c>
      <c r="D570" s="178" t="s">
        <v>1281</v>
      </c>
      <c r="E570" s="180">
        <v>18010</v>
      </c>
      <c r="F570" s="192">
        <v>0</v>
      </c>
    </row>
    <row r="571" spans="1:6" ht="12">
      <c r="A571" s="190">
        <v>240314</v>
      </c>
      <c r="B571" s="171" t="s">
        <v>991</v>
      </c>
      <c r="C571" s="200" t="s">
        <v>1282</v>
      </c>
      <c r="D571" s="178" t="s">
        <v>1283</v>
      </c>
      <c r="E571" s="180">
        <v>18781</v>
      </c>
      <c r="F571" s="192">
        <v>0</v>
      </c>
    </row>
    <row r="572" spans="1:6" ht="12">
      <c r="A572" s="190">
        <v>240314</v>
      </c>
      <c r="B572" s="171" t="s">
        <v>991</v>
      </c>
      <c r="C572" s="200">
        <v>219005790</v>
      </c>
      <c r="D572" s="178" t="s">
        <v>1284</v>
      </c>
      <c r="E572" s="180">
        <v>35325</v>
      </c>
      <c r="F572" s="192">
        <v>0</v>
      </c>
    </row>
    <row r="573" spans="1:6" ht="12">
      <c r="A573" s="190">
        <v>240314</v>
      </c>
      <c r="B573" s="171" t="s">
        <v>991</v>
      </c>
      <c r="C573" s="200" t="s">
        <v>1285</v>
      </c>
      <c r="D573" s="178" t="s">
        <v>1286</v>
      </c>
      <c r="E573" s="180">
        <v>7403</v>
      </c>
      <c r="F573" s="192">
        <v>0</v>
      </c>
    </row>
    <row r="574" spans="1:6" ht="12">
      <c r="A574" s="190">
        <v>240314</v>
      </c>
      <c r="B574" s="171" t="s">
        <v>991</v>
      </c>
      <c r="C574" s="200" t="s">
        <v>1287</v>
      </c>
      <c r="D574" s="178" t="s">
        <v>1288</v>
      </c>
      <c r="E574" s="180">
        <v>11137</v>
      </c>
      <c r="F574" s="192">
        <v>0</v>
      </c>
    </row>
    <row r="575" spans="1:6" ht="12">
      <c r="A575" s="190">
        <v>240314</v>
      </c>
      <c r="B575" s="171" t="s">
        <v>991</v>
      </c>
      <c r="C575" s="200" t="s">
        <v>1289</v>
      </c>
      <c r="D575" s="178" t="s">
        <v>1290</v>
      </c>
      <c r="E575" s="180">
        <v>7833</v>
      </c>
      <c r="F575" s="192">
        <v>0</v>
      </c>
    </row>
    <row r="576" spans="1:6" ht="12">
      <c r="A576" s="190">
        <v>240314</v>
      </c>
      <c r="B576" s="171" t="s">
        <v>991</v>
      </c>
      <c r="C576" s="200" t="s">
        <v>1291</v>
      </c>
      <c r="D576" s="178" t="s">
        <v>1292</v>
      </c>
      <c r="E576" s="180">
        <v>10190</v>
      </c>
      <c r="F576" s="192">
        <v>0</v>
      </c>
    </row>
    <row r="577" spans="1:6" ht="12">
      <c r="A577" s="190">
        <v>240314</v>
      </c>
      <c r="B577" s="171" t="s">
        <v>991</v>
      </c>
      <c r="C577" s="200" t="s">
        <v>1293</v>
      </c>
      <c r="D577" s="178" t="s">
        <v>1294</v>
      </c>
      <c r="E577" s="180">
        <v>37059</v>
      </c>
      <c r="F577" s="192">
        <v>0</v>
      </c>
    </row>
    <row r="578" spans="1:6" ht="12">
      <c r="A578" s="190">
        <v>240314</v>
      </c>
      <c r="B578" s="171" t="s">
        <v>991</v>
      </c>
      <c r="C578" s="200" t="s">
        <v>1295</v>
      </c>
      <c r="D578" s="178" t="s">
        <v>1296</v>
      </c>
      <c r="E578" s="180">
        <v>18320</v>
      </c>
      <c r="F578" s="192">
        <v>0</v>
      </c>
    </row>
    <row r="579" spans="1:6" ht="12">
      <c r="A579" s="190">
        <v>240314</v>
      </c>
      <c r="B579" s="171" t="s">
        <v>991</v>
      </c>
      <c r="C579" s="200" t="s">
        <v>1297</v>
      </c>
      <c r="D579" s="178" t="s">
        <v>1298</v>
      </c>
      <c r="E579" s="180">
        <v>7105</v>
      </c>
      <c r="F579" s="192">
        <v>0</v>
      </c>
    </row>
    <row r="580" spans="1:6" ht="12">
      <c r="A580" s="190">
        <v>240314</v>
      </c>
      <c r="B580" s="171" t="s">
        <v>991</v>
      </c>
      <c r="C580" s="200" t="s">
        <v>1299</v>
      </c>
      <c r="D580" s="178" t="s">
        <v>1300</v>
      </c>
      <c r="E580" s="180">
        <v>11457</v>
      </c>
      <c r="F580" s="192">
        <v>0</v>
      </c>
    </row>
    <row r="581" spans="1:6" ht="12">
      <c r="A581" s="190">
        <v>240314</v>
      </c>
      <c r="B581" s="171" t="s">
        <v>991</v>
      </c>
      <c r="C581" s="200" t="s">
        <v>1301</v>
      </c>
      <c r="D581" s="178" t="s">
        <v>1302</v>
      </c>
      <c r="E581" s="180">
        <v>15310</v>
      </c>
      <c r="F581" s="192">
        <v>0</v>
      </c>
    </row>
    <row r="582" spans="1:6" ht="12">
      <c r="A582" s="190">
        <v>240314</v>
      </c>
      <c r="B582" s="171" t="s">
        <v>991</v>
      </c>
      <c r="C582" s="200" t="s">
        <v>1303</v>
      </c>
      <c r="D582" s="178" t="s">
        <v>1304</v>
      </c>
      <c r="E582" s="180">
        <v>24996</v>
      </c>
      <c r="F582" s="192">
        <v>0</v>
      </c>
    </row>
    <row r="583" spans="1:6" ht="12">
      <c r="A583" s="190">
        <v>240314</v>
      </c>
      <c r="B583" s="171" t="s">
        <v>991</v>
      </c>
      <c r="C583" s="200" t="s">
        <v>1305</v>
      </c>
      <c r="D583" s="178" t="s">
        <v>1306</v>
      </c>
      <c r="E583" s="180">
        <v>8345</v>
      </c>
      <c r="F583" s="192">
        <v>0</v>
      </c>
    </row>
    <row r="584" spans="1:6" ht="12">
      <c r="A584" s="190">
        <v>240314</v>
      </c>
      <c r="B584" s="171" t="s">
        <v>991</v>
      </c>
      <c r="C584" s="200" t="s">
        <v>1307</v>
      </c>
      <c r="D584" s="178" t="s">
        <v>1308</v>
      </c>
      <c r="E584" s="180">
        <v>46248</v>
      </c>
      <c r="F584" s="192">
        <v>0</v>
      </c>
    </row>
    <row r="585" spans="1:6" ht="12">
      <c r="A585" s="190">
        <v>240314</v>
      </c>
      <c r="B585" s="171" t="s">
        <v>991</v>
      </c>
      <c r="C585" s="200" t="s">
        <v>1309</v>
      </c>
      <c r="D585" s="178" t="s">
        <v>1310</v>
      </c>
      <c r="E585" s="180">
        <v>22753</v>
      </c>
      <c r="F585" s="192">
        <v>0</v>
      </c>
    </row>
    <row r="586" spans="1:6" ht="12">
      <c r="A586" s="190">
        <v>240314</v>
      </c>
      <c r="B586" s="171" t="s">
        <v>991</v>
      </c>
      <c r="C586" s="200" t="s">
        <v>1311</v>
      </c>
      <c r="D586" s="178" t="s">
        <v>1312</v>
      </c>
      <c r="E586" s="180">
        <v>19629</v>
      </c>
      <c r="F586" s="192">
        <v>0</v>
      </c>
    </row>
    <row r="587" spans="1:6" ht="12">
      <c r="A587" s="190">
        <v>240314</v>
      </c>
      <c r="B587" s="171" t="s">
        <v>991</v>
      </c>
      <c r="C587" s="200" t="s">
        <v>1313</v>
      </c>
      <c r="D587" s="178" t="s">
        <v>1314</v>
      </c>
      <c r="E587" s="180">
        <v>37764</v>
      </c>
      <c r="F587" s="192">
        <v>0</v>
      </c>
    </row>
    <row r="588" spans="1:6" ht="12">
      <c r="A588" s="190">
        <v>240314</v>
      </c>
      <c r="B588" s="171" t="s">
        <v>991</v>
      </c>
      <c r="C588" s="200" t="s">
        <v>1315</v>
      </c>
      <c r="D588" s="178" t="s">
        <v>1316</v>
      </c>
      <c r="E588" s="180">
        <v>66410</v>
      </c>
      <c r="F588" s="192">
        <v>0</v>
      </c>
    </row>
    <row r="589" spans="1:6" ht="12">
      <c r="A589" s="190">
        <v>240314</v>
      </c>
      <c r="B589" s="171" t="s">
        <v>991</v>
      </c>
      <c r="C589" s="200" t="s">
        <v>1317</v>
      </c>
      <c r="D589" s="178" t="s">
        <v>1318</v>
      </c>
      <c r="E589" s="180">
        <v>30393</v>
      </c>
      <c r="F589" s="192">
        <v>0</v>
      </c>
    </row>
    <row r="590" spans="1:6" ht="12">
      <c r="A590" s="190">
        <v>240314</v>
      </c>
      <c r="B590" s="171" t="s">
        <v>991</v>
      </c>
      <c r="C590" s="200" t="s">
        <v>1319</v>
      </c>
      <c r="D590" s="178" t="s">
        <v>1320</v>
      </c>
      <c r="E590" s="180">
        <v>18841</v>
      </c>
      <c r="F590" s="192">
        <v>0</v>
      </c>
    </row>
    <row r="591" spans="1:6" ht="12">
      <c r="A591" s="190">
        <v>240314</v>
      </c>
      <c r="B591" s="171" t="s">
        <v>991</v>
      </c>
      <c r="C591" s="200" t="s">
        <v>1321</v>
      </c>
      <c r="D591" s="178" t="s">
        <v>1322</v>
      </c>
      <c r="E591" s="180">
        <v>36135</v>
      </c>
      <c r="F591" s="192">
        <v>0</v>
      </c>
    </row>
    <row r="592" spans="1:6" ht="12">
      <c r="A592" s="190">
        <v>240314</v>
      </c>
      <c r="B592" s="171" t="s">
        <v>991</v>
      </c>
      <c r="C592" s="200" t="s">
        <v>1323</v>
      </c>
      <c r="D592" s="178" t="s">
        <v>1324</v>
      </c>
      <c r="E592" s="180">
        <v>18499</v>
      </c>
      <c r="F592" s="192">
        <v>0</v>
      </c>
    </row>
    <row r="593" spans="1:6" ht="12">
      <c r="A593" s="190">
        <v>240314</v>
      </c>
      <c r="B593" s="171" t="s">
        <v>991</v>
      </c>
      <c r="C593" s="200" t="s">
        <v>1325</v>
      </c>
      <c r="D593" s="178" t="s">
        <v>1326</v>
      </c>
      <c r="E593" s="180">
        <v>34321</v>
      </c>
      <c r="F593" s="192">
        <v>0</v>
      </c>
    </row>
    <row r="594" spans="1:6" ht="12">
      <c r="A594" s="190">
        <v>240314</v>
      </c>
      <c r="B594" s="171" t="s">
        <v>991</v>
      </c>
      <c r="C594" s="200" t="s">
        <v>1327</v>
      </c>
      <c r="D594" s="178" t="s">
        <v>1328</v>
      </c>
      <c r="E594" s="180">
        <v>71417</v>
      </c>
      <c r="F594" s="192">
        <v>0</v>
      </c>
    </row>
    <row r="595" spans="1:6" ht="12">
      <c r="A595" s="190">
        <v>240314</v>
      </c>
      <c r="B595" s="171" t="s">
        <v>991</v>
      </c>
      <c r="C595" s="200" t="s">
        <v>1329</v>
      </c>
      <c r="D595" s="178" t="s">
        <v>1330</v>
      </c>
      <c r="E595" s="180">
        <v>29170</v>
      </c>
      <c r="F595" s="192">
        <v>0</v>
      </c>
    </row>
    <row r="596" spans="1:6" ht="12">
      <c r="A596" s="190">
        <v>240314</v>
      </c>
      <c r="B596" s="171" t="s">
        <v>991</v>
      </c>
      <c r="C596" s="200" t="s">
        <v>1331</v>
      </c>
      <c r="D596" s="178" t="s">
        <v>1332</v>
      </c>
      <c r="E596" s="180">
        <v>25308</v>
      </c>
      <c r="F596" s="192">
        <v>0</v>
      </c>
    </row>
    <row r="597" spans="1:6" ht="12">
      <c r="A597" s="190">
        <v>240314</v>
      </c>
      <c r="B597" s="171" t="s">
        <v>991</v>
      </c>
      <c r="C597" s="200" t="s">
        <v>1333</v>
      </c>
      <c r="D597" s="178" t="s">
        <v>1334</v>
      </c>
      <c r="E597" s="180">
        <v>6570</v>
      </c>
      <c r="F597" s="192">
        <v>0</v>
      </c>
    </row>
    <row r="598" spans="1:6" ht="12">
      <c r="A598" s="190">
        <v>240314</v>
      </c>
      <c r="B598" s="171" t="s">
        <v>991</v>
      </c>
      <c r="C598" s="200" t="s">
        <v>1335</v>
      </c>
      <c r="D598" s="178" t="s">
        <v>1336</v>
      </c>
      <c r="E598" s="180">
        <v>16657</v>
      </c>
      <c r="F598" s="192">
        <v>0</v>
      </c>
    </row>
    <row r="599" spans="1:6" ht="12">
      <c r="A599" s="190">
        <v>240314</v>
      </c>
      <c r="B599" s="171" t="s">
        <v>991</v>
      </c>
      <c r="C599" s="200" t="s">
        <v>1337</v>
      </c>
      <c r="D599" s="178" t="s">
        <v>1338</v>
      </c>
      <c r="E599" s="180">
        <v>26428</v>
      </c>
      <c r="F599" s="192">
        <v>0</v>
      </c>
    </row>
    <row r="600" spans="1:6" ht="12">
      <c r="A600" s="190">
        <v>240314</v>
      </c>
      <c r="B600" s="171" t="s">
        <v>991</v>
      </c>
      <c r="C600" s="200" t="s">
        <v>1339</v>
      </c>
      <c r="D600" s="178" t="s">
        <v>1340</v>
      </c>
      <c r="E600" s="180">
        <v>28813</v>
      </c>
      <c r="F600" s="192">
        <v>0</v>
      </c>
    </row>
    <row r="601" spans="1:6" ht="12">
      <c r="A601" s="190">
        <v>240314</v>
      </c>
      <c r="B601" s="171" t="s">
        <v>991</v>
      </c>
      <c r="C601" s="200" t="s">
        <v>1341</v>
      </c>
      <c r="D601" s="178" t="s">
        <v>1342</v>
      </c>
      <c r="E601" s="180">
        <v>32139</v>
      </c>
      <c r="F601" s="192">
        <v>0</v>
      </c>
    </row>
    <row r="602" spans="1:6" ht="12">
      <c r="A602" s="190">
        <v>240314</v>
      </c>
      <c r="B602" s="171" t="s">
        <v>991</v>
      </c>
      <c r="C602" s="200" t="s">
        <v>1343</v>
      </c>
      <c r="D602" s="178" t="s">
        <v>1344</v>
      </c>
      <c r="E602" s="180">
        <v>33340</v>
      </c>
      <c r="F602" s="192">
        <v>0</v>
      </c>
    </row>
    <row r="603" spans="1:6" ht="12">
      <c r="A603" s="190">
        <v>240314</v>
      </c>
      <c r="B603" s="171" t="s">
        <v>991</v>
      </c>
      <c r="C603" s="200" t="s">
        <v>1345</v>
      </c>
      <c r="D603" s="178" t="s">
        <v>1241</v>
      </c>
      <c r="E603" s="180">
        <v>0</v>
      </c>
      <c r="F603" s="192">
        <v>0</v>
      </c>
    </row>
    <row r="604" spans="1:6" ht="12">
      <c r="A604" s="190">
        <v>240314</v>
      </c>
      <c r="B604" s="171" t="s">
        <v>991</v>
      </c>
      <c r="C604" s="200" t="s">
        <v>1346</v>
      </c>
      <c r="D604" s="178" t="s">
        <v>1347</v>
      </c>
      <c r="E604" s="180">
        <v>18348</v>
      </c>
      <c r="F604" s="192">
        <v>0</v>
      </c>
    </row>
    <row r="605" spans="1:6" ht="12">
      <c r="A605" s="190">
        <v>240314</v>
      </c>
      <c r="B605" s="171" t="s">
        <v>991</v>
      </c>
      <c r="C605" s="200" t="s">
        <v>1348</v>
      </c>
      <c r="D605" s="178" t="s">
        <v>1349</v>
      </c>
      <c r="E605" s="180">
        <v>26039</v>
      </c>
      <c r="F605" s="192">
        <v>0</v>
      </c>
    </row>
    <row r="606" spans="1:6" ht="12">
      <c r="A606" s="190">
        <v>240314</v>
      </c>
      <c r="B606" s="171" t="s">
        <v>991</v>
      </c>
      <c r="C606" s="200" t="s">
        <v>1350</v>
      </c>
      <c r="D606" s="178" t="s">
        <v>1351</v>
      </c>
      <c r="E606" s="180">
        <v>14176</v>
      </c>
      <c r="F606" s="192">
        <v>0</v>
      </c>
    </row>
    <row r="607" spans="1:6" ht="12">
      <c r="A607" s="190">
        <v>240314</v>
      </c>
      <c r="B607" s="171" t="s">
        <v>991</v>
      </c>
      <c r="C607" s="200" t="s">
        <v>1352</v>
      </c>
      <c r="D607" s="178" t="s">
        <v>1353</v>
      </c>
      <c r="E607" s="180">
        <v>11778</v>
      </c>
      <c r="F607" s="192">
        <v>0</v>
      </c>
    </row>
    <row r="608" spans="1:6" ht="12">
      <c r="A608" s="190">
        <v>240314</v>
      </c>
      <c r="B608" s="171" t="s">
        <v>991</v>
      </c>
      <c r="C608" s="200" t="s">
        <v>1354</v>
      </c>
      <c r="D608" s="178" t="s">
        <v>1355</v>
      </c>
      <c r="E608" s="180">
        <v>9240</v>
      </c>
      <c r="F608" s="192">
        <v>0</v>
      </c>
    </row>
    <row r="609" spans="1:6" ht="12">
      <c r="A609" s="190">
        <v>240314</v>
      </c>
      <c r="B609" s="171" t="s">
        <v>991</v>
      </c>
      <c r="C609" s="200" t="s">
        <v>1356</v>
      </c>
      <c r="D609" s="178" t="s">
        <v>1357</v>
      </c>
      <c r="E609" s="180">
        <v>47434</v>
      </c>
      <c r="F609" s="192">
        <v>0</v>
      </c>
    </row>
    <row r="610" spans="1:6" ht="12">
      <c r="A610" s="190">
        <v>240314</v>
      </c>
      <c r="B610" s="171" t="s">
        <v>991</v>
      </c>
      <c r="C610" s="200">
        <v>213013030</v>
      </c>
      <c r="D610" s="178" t="s">
        <v>1358</v>
      </c>
      <c r="E610" s="180">
        <v>21807</v>
      </c>
      <c r="F610" s="192">
        <v>0</v>
      </c>
    </row>
    <row r="611" spans="1:6" ht="12">
      <c r="A611" s="190">
        <v>240314</v>
      </c>
      <c r="B611" s="171" t="s">
        <v>991</v>
      </c>
      <c r="C611" s="200" t="s">
        <v>1359</v>
      </c>
      <c r="D611" s="178" t="s">
        <v>1360</v>
      </c>
      <c r="E611" s="180">
        <v>15888</v>
      </c>
      <c r="F611" s="192">
        <v>0</v>
      </c>
    </row>
    <row r="612" spans="1:6" ht="12">
      <c r="A612" s="190">
        <v>240314</v>
      </c>
      <c r="B612" s="171" t="s">
        <v>991</v>
      </c>
      <c r="C612" s="200" t="s">
        <v>1361</v>
      </c>
      <c r="D612" s="178" t="s">
        <v>1362</v>
      </c>
      <c r="E612" s="180">
        <v>88088</v>
      </c>
      <c r="F612" s="192">
        <v>0</v>
      </c>
    </row>
    <row r="613" spans="1:6" ht="12">
      <c r="A613" s="190">
        <v>240314</v>
      </c>
      <c r="B613" s="171" t="s">
        <v>991</v>
      </c>
      <c r="C613" s="200" t="s">
        <v>1363</v>
      </c>
      <c r="D613" s="178" t="s">
        <v>1364</v>
      </c>
      <c r="E613" s="180">
        <v>10627</v>
      </c>
      <c r="F613" s="192">
        <v>0</v>
      </c>
    </row>
    <row r="614" spans="1:6" ht="12">
      <c r="A614" s="190">
        <v>240314</v>
      </c>
      <c r="B614" s="171" t="s">
        <v>991</v>
      </c>
      <c r="C614" s="200">
        <v>217413074</v>
      </c>
      <c r="D614" s="178" t="s">
        <v>1365</v>
      </c>
      <c r="E614" s="180">
        <v>37527</v>
      </c>
      <c r="F614" s="192">
        <v>0</v>
      </c>
    </row>
    <row r="615" spans="1:6" ht="12">
      <c r="A615" s="190">
        <v>240314</v>
      </c>
      <c r="B615" s="171" t="s">
        <v>991</v>
      </c>
      <c r="C615" s="200">
        <v>214013140</v>
      </c>
      <c r="D615" s="178" t="s">
        <v>1366</v>
      </c>
      <c r="E615" s="180">
        <v>39857</v>
      </c>
      <c r="F615" s="192">
        <v>0</v>
      </c>
    </row>
    <row r="616" spans="1:6" ht="12">
      <c r="A616" s="190">
        <v>240314</v>
      </c>
      <c r="B616" s="171" t="s">
        <v>991</v>
      </c>
      <c r="C616" s="200" t="s">
        <v>1367</v>
      </c>
      <c r="D616" s="178" t="s">
        <v>1368</v>
      </c>
      <c r="E616" s="180">
        <v>15738</v>
      </c>
      <c r="F616" s="192">
        <v>0</v>
      </c>
    </row>
    <row r="617" spans="1:6" ht="12">
      <c r="A617" s="190">
        <v>240314</v>
      </c>
      <c r="B617" s="171" t="s">
        <v>991</v>
      </c>
      <c r="C617" s="200" t="s">
        <v>1369</v>
      </c>
      <c r="D617" s="178" t="s">
        <v>1370</v>
      </c>
      <c r="E617" s="180">
        <v>22640</v>
      </c>
      <c r="F617" s="192">
        <v>0</v>
      </c>
    </row>
    <row r="618" spans="1:6" ht="12">
      <c r="A618" s="190">
        <v>240314</v>
      </c>
      <c r="B618" s="171" t="s">
        <v>991</v>
      </c>
      <c r="C618" s="200" t="s">
        <v>1371</v>
      </c>
      <c r="D618" s="178" t="s">
        <v>1001</v>
      </c>
      <c r="E618" s="180">
        <v>28926</v>
      </c>
      <c r="F618" s="192">
        <v>0</v>
      </c>
    </row>
    <row r="619" spans="1:6" ht="12">
      <c r="A619" s="190">
        <v>240314</v>
      </c>
      <c r="B619" s="171" t="s">
        <v>991</v>
      </c>
      <c r="C619" s="200" t="s">
        <v>1372</v>
      </c>
      <c r="D619" s="178" t="s">
        <v>1373</v>
      </c>
      <c r="E619" s="180">
        <v>23156</v>
      </c>
      <c r="F619" s="192">
        <v>0</v>
      </c>
    </row>
    <row r="620" spans="1:6" ht="12">
      <c r="A620" s="190">
        <v>240314</v>
      </c>
      <c r="B620" s="171" t="s">
        <v>991</v>
      </c>
      <c r="C620" s="200" t="s">
        <v>1374</v>
      </c>
      <c r="D620" s="178" t="s">
        <v>1375</v>
      </c>
      <c r="E620" s="180">
        <v>107485</v>
      </c>
      <c r="F620" s="192">
        <v>0</v>
      </c>
    </row>
    <row r="621" spans="1:6" ht="12">
      <c r="A621" s="190">
        <v>240314</v>
      </c>
      <c r="B621" s="171" t="s">
        <v>991</v>
      </c>
      <c r="C621" s="200" t="s">
        <v>1376</v>
      </c>
      <c r="D621" s="178" t="s">
        <v>1377</v>
      </c>
      <c r="E621" s="180">
        <v>12027</v>
      </c>
      <c r="F621" s="192">
        <v>0</v>
      </c>
    </row>
    <row r="622" spans="1:6" ht="12">
      <c r="A622" s="190">
        <v>240314</v>
      </c>
      <c r="B622" s="171" t="s">
        <v>991</v>
      </c>
      <c r="C622" s="200" t="s">
        <v>1378</v>
      </c>
      <c r="D622" s="178" t="s">
        <v>1379</v>
      </c>
      <c r="E622" s="180">
        <v>19388</v>
      </c>
      <c r="F622" s="192">
        <v>0</v>
      </c>
    </row>
    <row r="623" spans="1:6" ht="12">
      <c r="A623" s="190">
        <v>240314</v>
      </c>
      <c r="B623" s="171" t="s">
        <v>991</v>
      </c>
      <c r="C623" s="200" t="s">
        <v>1380</v>
      </c>
      <c r="D623" s="178" t="s">
        <v>1381</v>
      </c>
      <c r="E623" s="180">
        <v>25506</v>
      </c>
      <c r="F623" s="192">
        <v>0</v>
      </c>
    </row>
    <row r="624" spans="1:6" ht="12">
      <c r="A624" s="190">
        <v>240314</v>
      </c>
      <c r="B624" s="171" t="s">
        <v>991</v>
      </c>
      <c r="C624" s="200" t="s">
        <v>1382</v>
      </c>
      <c r="D624" s="178" t="s">
        <v>1383</v>
      </c>
      <c r="E624" s="180">
        <v>40738</v>
      </c>
      <c r="F624" s="192">
        <v>0</v>
      </c>
    </row>
    <row r="625" spans="1:6" ht="12">
      <c r="A625" s="190">
        <v>240314</v>
      </c>
      <c r="B625" s="171" t="s">
        <v>991</v>
      </c>
      <c r="C625" s="200" t="s">
        <v>1384</v>
      </c>
      <c r="D625" s="178" t="s">
        <v>1385</v>
      </c>
      <c r="E625" s="180">
        <v>22318</v>
      </c>
      <c r="F625" s="192">
        <v>0</v>
      </c>
    </row>
    <row r="626" spans="1:6" ht="12">
      <c r="A626" s="190">
        <v>240314</v>
      </c>
      <c r="B626" s="171" t="s">
        <v>991</v>
      </c>
      <c r="C626" s="200" t="s">
        <v>1386</v>
      </c>
      <c r="D626" s="178" t="s">
        <v>1387</v>
      </c>
      <c r="E626" s="180">
        <v>93581</v>
      </c>
      <c r="F626" s="192">
        <v>0</v>
      </c>
    </row>
    <row r="627" spans="1:6" ht="12">
      <c r="A627" s="190">
        <v>240314</v>
      </c>
      <c r="B627" s="171" t="s">
        <v>991</v>
      </c>
      <c r="C627" s="200">
        <v>215813458</v>
      </c>
      <c r="D627" s="178" t="s">
        <v>1388</v>
      </c>
      <c r="E627" s="180">
        <v>26673</v>
      </c>
      <c r="F627" s="192">
        <v>0</v>
      </c>
    </row>
    <row r="628" spans="1:6" ht="12">
      <c r="A628" s="190">
        <v>240314</v>
      </c>
      <c r="B628" s="171" t="s">
        <v>991</v>
      </c>
      <c r="C628" s="200">
        <v>216813468</v>
      </c>
      <c r="D628" s="178" t="s">
        <v>1389</v>
      </c>
      <c r="E628" s="180">
        <v>76423</v>
      </c>
      <c r="F628" s="192">
        <v>0</v>
      </c>
    </row>
    <row r="629" spans="1:6" ht="12">
      <c r="A629" s="190">
        <v>240314</v>
      </c>
      <c r="B629" s="171" t="s">
        <v>991</v>
      </c>
      <c r="C629" s="200" t="s">
        <v>1390</v>
      </c>
      <c r="D629" s="178" t="s">
        <v>1391</v>
      </c>
      <c r="E629" s="180">
        <v>36395</v>
      </c>
      <c r="F629" s="192">
        <v>0</v>
      </c>
    </row>
    <row r="630" spans="1:6" ht="12">
      <c r="A630" s="190">
        <v>240314</v>
      </c>
      <c r="B630" s="171" t="s">
        <v>991</v>
      </c>
      <c r="C630" s="200" t="s">
        <v>1392</v>
      </c>
      <c r="D630" s="178" t="s">
        <v>1393</v>
      </c>
      <c r="E630" s="180">
        <v>48276</v>
      </c>
      <c r="F630" s="192">
        <v>0</v>
      </c>
    </row>
    <row r="631" spans="1:6" ht="12">
      <c r="A631" s="190">
        <v>240314</v>
      </c>
      <c r="B631" s="171" t="s">
        <v>991</v>
      </c>
      <c r="C631" s="200" t="s">
        <v>1394</v>
      </c>
      <c r="D631" s="178" t="s">
        <v>1395</v>
      </c>
      <c r="E631" s="180">
        <v>12078</v>
      </c>
      <c r="F631" s="192">
        <v>0</v>
      </c>
    </row>
    <row r="632" spans="1:6" ht="12">
      <c r="A632" s="190">
        <v>240314</v>
      </c>
      <c r="B632" s="171" t="s">
        <v>991</v>
      </c>
      <c r="C632" s="200">
        <v>210013600</v>
      </c>
      <c r="D632" s="178" t="s">
        <v>1396</v>
      </c>
      <c r="E632" s="180">
        <v>29184</v>
      </c>
      <c r="F632" s="192">
        <v>0</v>
      </c>
    </row>
    <row r="633" spans="1:6" ht="12">
      <c r="A633" s="190">
        <v>240314</v>
      </c>
      <c r="B633" s="171" t="s">
        <v>991</v>
      </c>
      <c r="C633" s="200" t="s">
        <v>1397</v>
      </c>
      <c r="D633" s="178" t="s">
        <v>1398</v>
      </c>
      <c r="E633" s="180">
        <v>10446</v>
      </c>
      <c r="F633" s="192">
        <v>0</v>
      </c>
    </row>
    <row r="634" spans="1:6" ht="12">
      <c r="A634" s="190">
        <v>240314</v>
      </c>
      <c r="B634" s="171" t="s">
        <v>991</v>
      </c>
      <c r="C634" s="200" t="s">
        <v>1399</v>
      </c>
      <c r="D634" s="178" t="s">
        <v>1400</v>
      </c>
      <c r="E634" s="180">
        <v>22891</v>
      </c>
      <c r="F634" s="192">
        <v>0</v>
      </c>
    </row>
    <row r="635" spans="1:6" ht="12">
      <c r="A635" s="190">
        <v>240314</v>
      </c>
      <c r="B635" s="171" t="s">
        <v>991</v>
      </c>
      <c r="C635" s="200" t="s">
        <v>1401</v>
      </c>
      <c r="D635" s="178" t="s">
        <v>1402</v>
      </c>
      <c r="E635" s="180">
        <v>20260</v>
      </c>
      <c r="F635" s="192">
        <v>0</v>
      </c>
    </row>
    <row r="636" spans="1:6" ht="12">
      <c r="A636" s="190">
        <v>240314</v>
      </c>
      <c r="B636" s="171" t="s">
        <v>991</v>
      </c>
      <c r="C636" s="200" t="s">
        <v>1403</v>
      </c>
      <c r="D636" s="178" t="s">
        <v>1404</v>
      </c>
      <c r="E636" s="180">
        <v>0</v>
      </c>
      <c r="F636" s="192">
        <v>0</v>
      </c>
    </row>
    <row r="637" spans="1:6" ht="12">
      <c r="A637" s="190">
        <v>240314</v>
      </c>
      <c r="B637" s="171" t="s">
        <v>991</v>
      </c>
      <c r="C637" s="200">
        <v>215513655</v>
      </c>
      <c r="D637" s="178" t="s">
        <v>1405</v>
      </c>
      <c r="E637" s="180">
        <v>24140</v>
      </c>
      <c r="F637" s="192">
        <v>0</v>
      </c>
    </row>
    <row r="638" spans="1:6" ht="12">
      <c r="A638" s="190">
        <v>240314</v>
      </c>
      <c r="B638" s="171" t="s">
        <v>991</v>
      </c>
      <c r="C638" s="200">
        <v>215713657</v>
      </c>
      <c r="D638" s="178" t="s">
        <v>1406</v>
      </c>
      <c r="E638" s="180">
        <v>59210</v>
      </c>
      <c r="F638" s="192">
        <v>0</v>
      </c>
    </row>
    <row r="639" spans="1:6" ht="12">
      <c r="A639" s="190">
        <v>240314</v>
      </c>
      <c r="B639" s="171" t="s">
        <v>991</v>
      </c>
      <c r="C639" s="200">
        <v>216713667</v>
      </c>
      <c r="D639" s="178" t="s">
        <v>1407</v>
      </c>
      <c r="E639" s="180">
        <v>37284</v>
      </c>
      <c r="F639" s="192">
        <v>0</v>
      </c>
    </row>
    <row r="640" spans="1:6" ht="12">
      <c r="A640" s="190">
        <v>240314</v>
      </c>
      <c r="B640" s="171" t="s">
        <v>991</v>
      </c>
      <c r="C640" s="200" t="s">
        <v>1408</v>
      </c>
      <c r="D640" s="178" t="s">
        <v>1409</v>
      </c>
      <c r="E640" s="180">
        <v>50972</v>
      </c>
      <c r="F640" s="192">
        <v>0</v>
      </c>
    </row>
    <row r="641" spans="1:6" ht="12">
      <c r="A641" s="190">
        <v>240314</v>
      </c>
      <c r="B641" s="171" t="s">
        <v>991</v>
      </c>
      <c r="C641" s="200" t="s">
        <v>1410</v>
      </c>
      <c r="D641" s="178" t="s">
        <v>1411</v>
      </c>
      <c r="E641" s="180">
        <v>21967</v>
      </c>
      <c r="F641" s="192">
        <v>0</v>
      </c>
    </row>
    <row r="642" spans="1:6" ht="12">
      <c r="A642" s="190">
        <v>240314</v>
      </c>
      <c r="B642" s="171" t="s">
        <v>991</v>
      </c>
      <c r="C642" s="200">
        <v>218313683</v>
      </c>
      <c r="D642" s="178" t="s">
        <v>1412</v>
      </c>
      <c r="E642" s="180">
        <v>30766</v>
      </c>
      <c r="F642" s="192">
        <v>0</v>
      </c>
    </row>
    <row r="643" spans="1:6" ht="12">
      <c r="A643" s="190">
        <v>240314</v>
      </c>
      <c r="B643" s="171" t="s">
        <v>991</v>
      </c>
      <c r="C643" s="200">
        <v>218813688</v>
      </c>
      <c r="D643" s="178" t="s">
        <v>1413</v>
      </c>
      <c r="E643" s="180">
        <v>57757</v>
      </c>
      <c r="F643" s="192">
        <v>0</v>
      </c>
    </row>
    <row r="644" spans="1:6" ht="12">
      <c r="A644" s="190">
        <v>240314</v>
      </c>
      <c r="B644" s="171" t="s">
        <v>991</v>
      </c>
      <c r="C644" s="200" t="s">
        <v>1414</v>
      </c>
      <c r="D644" s="178" t="s">
        <v>1415</v>
      </c>
      <c r="E644" s="180">
        <v>39476</v>
      </c>
      <c r="F644" s="192">
        <v>0</v>
      </c>
    </row>
    <row r="645" spans="1:6" ht="12">
      <c r="A645" s="190">
        <v>240314</v>
      </c>
      <c r="B645" s="171" t="s">
        <v>991</v>
      </c>
      <c r="C645" s="200" t="s">
        <v>1416</v>
      </c>
      <c r="D645" s="178" t="s">
        <v>1417</v>
      </c>
      <c r="E645" s="180">
        <v>12956</v>
      </c>
      <c r="F645" s="192">
        <v>0</v>
      </c>
    </row>
    <row r="646" spans="1:6" ht="12">
      <c r="A646" s="190">
        <v>240314</v>
      </c>
      <c r="B646" s="171" t="s">
        <v>991</v>
      </c>
      <c r="C646" s="200" t="s">
        <v>1418</v>
      </c>
      <c r="D646" s="178" t="s">
        <v>1419</v>
      </c>
      <c r="E646" s="180">
        <v>24381</v>
      </c>
      <c r="F646" s="192">
        <v>0</v>
      </c>
    </row>
    <row r="647" spans="1:6" ht="12">
      <c r="A647" s="190">
        <v>240314</v>
      </c>
      <c r="B647" s="171" t="s">
        <v>991</v>
      </c>
      <c r="C647" s="200" t="s">
        <v>1420</v>
      </c>
      <c r="D647" s="178" t="s">
        <v>1421</v>
      </c>
      <c r="E647" s="180">
        <v>37580</v>
      </c>
      <c r="F647" s="192">
        <v>0</v>
      </c>
    </row>
    <row r="648" spans="1:6" ht="12">
      <c r="A648" s="190">
        <v>240314</v>
      </c>
      <c r="B648" s="171" t="s">
        <v>991</v>
      </c>
      <c r="C648" s="200" t="s">
        <v>1422</v>
      </c>
      <c r="D648" s="178" t="s">
        <v>1423</v>
      </c>
      <c r="E648" s="180">
        <v>70708</v>
      </c>
      <c r="F648" s="192">
        <v>0</v>
      </c>
    </row>
    <row r="649" spans="1:6" ht="12">
      <c r="A649" s="190">
        <v>240314</v>
      </c>
      <c r="B649" s="171" t="s">
        <v>991</v>
      </c>
      <c r="C649" s="200" t="s">
        <v>1424</v>
      </c>
      <c r="D649" s="178" t="s">
        <v>1425</v>
      </c>
      <c r="E649" s="180">
        <v>23588</v>
      </c>
      <c r="F649" s="192">
        <v>0</v>
      </c>
    </row>
    <row r="650" spans="1:6" ht="12">
      <c r="A650" s="190">
        <v>240314</v>
      </c>
      <c r="B650" s="171" t="s">
        <v>991</v>
      </c>
      <c r="C650" s="200" t="s">
        <v>1426</v>
      </c>
      <c r="D650" s="178" t="s">
        <v>1427</v>
      </c>
      <c r="E650" s="180">
        <v>29733</v>
      </c>
      <c r="F650" s="192">
        <v>0</v>
      </c>
    </row>
    <row r="651" spans="1:6" ht="12">
      <c r="A651" s="190">
        <v>240314</v>
      </c>
      <c r="B651" s="171" t="s">
        <v>991</v>
      </c>
      <c r="C651" s="200" t="s">
        <v>1428</v>
      </c>
      <c r="D651" s="178" t="s">
        <v>1429</v>
      </c>
      <c r="E651" s="180">
        <v>17725</v>
      </c>
      <c r="F651" s="192">
        <v>0</v>
      </c>
    </row>
    <row r="652" spans="1:6" ht="12">
      <c r="A652" s="190">
        <v>240314</v>
      </c>
      <c r="B652" s="171" t="s">
        <v>991</v>
      </c>
      <c r="C652" s="200" t="s">
        <v>1430</v>
      </c>
      <c r="D652" s="178" t="s">
        <v>1431</v>
      </c>
      <c r="E652" s="180">
        <v>2200</v>
      </c>
      <c r="F652" s="192">
        <v>0</v>
      </c>
    </row>
    <row r="653" spans="1:6" ht="12">
      <c r="A653" s="190">
        <v>240314</v>
      </c>
      <c r="B653" s="171" t="s">
        <v>991</v>
      </c>
      <c r="C653" s="200" t="s">
        <v>1432</v>
      </c>
      <c r="D653" s="178" t="s">
        <v>1433</v>
      </c>
      <c r="E653" s="180">
        <v>19489</v>
      </c>
      <c r="F653" s="192">
        <v>0</v>
      </c>
    </row>
    <row r="654" spans="1:6" ht="12">
      <c r="A654" s="190">
        <v>240314</v>
      </c>
      <c r="B654" s="171" t="s">
        <v>991</v>
      </c>
      <c r="C654" s="200" t="s">
        <v>1434</v>
      </c>
      <c r="D654" s="178" t="s">
        <v>1435</v>
      </c>
      <c r="E654" s="180">
        <v>6474</v>
      </c>
      <c r="F654" s="192">
        <v>0</v>
      </c>
    </row>
    <row r="655" spans="1:6" ht="12">
      <c r="A655" s="190">
        <v>240314</v>
      </c>
      <c r="B655" s="171" t="s">
        <v>991</v>
      </c>
      <c r="C655" s="200" t="s">
        <v>1436</v>
      </c>
      <c r="D655" s="178" t="s">
        <v>1437</v>
      </c>
      <c r="E655" s="180">
        <v>10476</v>
      </c>
      <c r="F655" s="192">
        <v>0</v>
      </c>
    </row>
    <row r="656" spans="1:6" ht="12">
      <c r="A656" s="190">
        <v>240314</v>
      </c>
      <c r="B656" s="171" t="s">
        <v>991</v>
      </c>
      <c r="C656" s="200" t="s">
        <v>1438</v>
      </c>
      <c r="D656" s="178" t="s">
        <v>1439</v>
      </c>
      <c r="E656" s="180">
        <v>2422</v>
      </c>
      <c r="F656" s="192">
        <v>0</v>
      </c>
    </row>
    <row r="657" spans="1:6" ht="12">
      <c r="A657" s="190">
        <v>240314</v>
      </c>
      <c r="B657" s="171" t="s">
        <v>991</v>
      </c>
      <c r="C657" s="200" t="s">
        <v>1440</v>
      </c>
      <c r="D657" s="178" t="s">
        <v>1441</v>
      </c>
      <c r="E657" s="180">
        <v>2958</v>
      </c>
      <c r="F657" s="192">
        <v>0</v>
      </c>
    </row>
    <row r="658" spans="1:6" ht="12">
      <c r="A658" s="190">
        <v>240314</v>
      </c>
      <c r="B658" s="171" t="s">
        <v>991</v>
      </c>
      <c r="C658" s="200" t="s">
        <v>1442</v>
      </c>
      <c r="D658" s="178" t="s">
        <v>1443</v>
      </c>
      <c r="E658" s="180">
        <v>9618</v>
      </c>
      <c r="F658" s="192">
        <v>0</v>
      </c>
    </row>
    <row r="659" spans="1:6" ht="12">
      <c r="A659" s="190">
        <v>240314</v>
      </c>
      <c r="B659" s="171" t="s">
        <v>991</v>
      </c>
      <c r="C659" s="200" t="s">
        <v>1444</v>
      </c>
      <c r="D659" s="178" t="s">
        <v>995</v>
      </c>
      <c r="E659" s="180">
        <v>5728</v>
      </c>
      <c r="F659" s="192">
        <v>0</v>
      </c>
    </row>
    <row r="660" spans="1:6" ht="12">
      <c r="A660" s="190">
        <v>240314</v>
      </c>
      <c r="B660" s="171" t="s">
        <v>991</v>
      </c>
      <c r="C660" s="200" t="s">
        <v>1445</v>
      </c>
      <c r="D660" s="178" t="s">
        <v>1446</v>
      </c>
      <c r="E660" s="180">
        <v>3427</v>
      </c>
      <c r="F660" s="192">
        <v>0</v>
      </c>
    </row>
    <row r="661" spans="1:6" ht="12">
      <c r="A661" s="190">
        <v>240314</v>
      </c>
      <c r="B661" s="171" t="s">
        <v>991</v>
      </c>
      <c r="C661" s="200" t="s">
        <v>1447</v>
      </c>
      <c r="D661" s="178" t="s">
        <v>1448</v>
      </c>
      <c r="E661" s="180">
        <v>7472</v>
      </c>
      <c r="F661" s="192">
        <v>0</v>
      </c>
    </row>
    <row r="662" spans="1:6" ht="12">
      <c r="A662" s="190">
        <v>240314</v>
      </c>
      <c r="B662" s="171" t="s">
        <v>991</v>
      </c>
      <c r="C662" s="200">
        <v>211415114</v>
      </c>
      <c r="D662" s="178" t="s">
        <v>1449</v>
      </c>
      <c r="E662" s="180">
        <v>671</v>
      </c>
      <c r="F662" s="192">
        <v>0</v>
      </c>
    </row>
    <row r="663" spans="1:6" ht="12">
      <c r="A663" s="190">
        <v>240314</v>
      </c>
      <c r="B663" s="171" t="s">
        <v>991</v>
      </c>
      <c r="C663" s="200" t="s">
        <v>1450</v>
      </c>
      <c r="D663" s="178" t="s">
        <v>996</v>
      </c>
      <c r="E663" s="180">
        <v>4683</v>
      </c>
      <c r="F663" s="192">
        <v>0</v>
      </c>
    </row>
    <row r="664" spans="1:6" ht="12">
      <c r="A664" s="190">
        <v>240314</v>
      </c>
      <c r="B664" s="171" t="s">
        <v>991</v>
      </c>
      <c r="C664" s="200" t="s">
        <v>1451</v>
      </c>
      <c r="D664" s="178" t="s">
        <v>1452</v>
      </c>
      <c r="E664" s="180">
        <v>4480</v>
      </c>
      <c r="F664" s="192">
        <v>0</v>
      </c>
    </row>
    <row r="665" spans="1:6" ht="12">
      <c r="A665" s="190">
        <v>240314</v>
      </c>
      <c r="B665" s="171" t="s">
        <v>991</v>
      </c>
      <c r="C665" s="200" t="s">
        <v>1453</v>
      </c>
      <c r="D665" s="178" t="s">
        <v>1454</v>
      </c>
      <c r="E665" s="180">
        <v>4869</v>
      </c>
      <c r="F665" s="192">
        <v>0</v>
      </c>
    </row>
    <row r="666" spans="1:6" ht="12">
      <c r="A666" s="190">
        <v>240314</v>
      </c>
      <c r="B666" s="171" t="s">
        <v>991</v>
      </c>
      <c r="C666" s="200" t="s">
        <v>1455</v>
      </c>
      <c r="D666" s="178" t="s">
        <v>1456</v>
      </c>
      <c r="E666" s="180">
        <v>4314</v>
      </c>
      <c r="F666" s="192">
        <v>0</v>
      </c>
    </row>
    <row r="667" spans="1:6" ht="12">
      <c r="A667" s="190">
        <v>240314</v>
      </c>
      <c r="B667" s="171" t="s">
        <v>991</v>
      </c>
      <c r="C667" s="200" t="s">
        <v>1457</v>
      </c>
      <c r="D667" s="178" t="s">
        <v>1458</v>
      </c>
      <c r="E667" s="180">
        <v>66757</v>
      </c>
      <c r="F667" s="192">
        <v>0</v>
      </c>
    </row>
    <row r="668" spans="1:6" ht="12">
      <c r="A668" s="190">
        <v>240314</v>
      </c>
      <c r="B668" s="171" t="s">
        <v>991</v>
      </c>
      <c r="C668" s="200" t="s">
        <v>1459</v>
      </c>
      <c r="D668" s="178" t="s">
        <v>1460</v>
      </c>
      <c r="E668" s="180">
        <v>6835</v>
      </c>
      <c r="F668" s="192">
        <v>0</v>
      </c>
    </row>
    <row r="669" spans="1:6" ht="12">
      <c r="A669" s="190">
        <v>240314</v>
      </c>
      <c r="B669" s="171" t="s">
        <v>991</v>
      </c>
      <c r="C669" s="200" t="s">
        <v>1461</v>
      </c>
      <c r="D669" s="178" t="s">
        <v>1462</v>
      </c>
      <c r="E669" s="180">
        <v>16469</v>
      </c>
      <c r="F669" s="192">
        <v>0</v>
      </c>
    </row>
    <row r="670" spans="1:6" ht="12">
      <c r="A670" s="190">
        <v>240314</v>
      </c>
      <c r="B670" s="171" t="s">
        <v>991</v>
      </c>
      <c r="C670" s="200" t="s">
        <v>1463</v>
      </c>
      <c r="D670" s="178" t="s">
        <v>1464</v>
      </c>
      <c r="E670" s="180">
        <v>9546</v>
      </c>
      <c r="F670" s="192">
        <v>0</v>
      </c>
    </row>
    <row r="671" spans="1:6" ht="12">
      <c r="A671" s="190">
        <v>240314</v>
      </c>
      <c r="B671" s="171" t="s">
        <v>991</v>
      </c>
      <c r="C671" s="200" t="s">
        <v>1465</v>
      </c>
      <c r="D671" s="178" t="s">
        <v>1466</v>
      </c>
      <c r="E671" s="180">
        <v>3542</v>
      </c>
      <c r="F671" s="192">
        <v>0</v>
      </c>
    </row>
    <row r="672" spans="1:6" ht="12">
      <c r="A672" s="190">
        <v>240314</v>
      </c>
      <c r="B672" s="171" t="s">
        <v>991</v>
      </c>
      <c r="C672" s="200">
        <v>218915189</v>
      </c>
      <c r="D672" s="178" t="s">
        <v>1068</v>
      </c>
      <c r="E672" s="180">
        <v>5359</v>
      </c>
      <c r="F672" s="192">
        <v>0</v>
      </c>
    </row>
    <row r="673" spans="1:6" ht="12">
      <c r="A673" s="190">
        <v>240314</v>
      </c>
      <c r="B673" s="171" t="s">
        <v>991</v>
      </c>
      <c r="C673" s="200" t="s">
        <v>1467</v>
      </c>
      <c r="D673" s="178" t="s">
        <v>1468</v>
      </c>
      <c r="E673" s="180">
        <v>10163</v>
      </c>
      <c r="F673" s="192">
        <v>0</v>
      </c>
    </row>
    <row r="674" spans="1:6" ht="12">
      <c r="A674" s="190">
        <v>240314</v>
      </c>
      <c r="B674" s="171" t="s">
        <v>991</v>
      </c>
      <c r="C674" s="200" t="s">
        <v>1469</v>
      </c>
      <c r="D674" s="178" t="s">
        <v>1470</v>
      </c>
      <c r="E674" s="180">
        <v>5184</v>
      </c>
      <c r="F674" s="192">
        <v>0</v>
      </c>
    </row>
    <row r="675" spans="1:6" ht="12">
      <c r="A675" s="190">
        <v>240314</v>
      </c>
      <c r="B675" s="171" t="s">
        <v>991</v>
      </c>
      <c r="C675" s="200" t="s">
        <v>1471</v>
      </c>
      <c r="D675" s="178" t="s">
        <v>1472</v>
      </c>
      <c r="E675" s="180">
        <v>2836</v>
      </c>
      <c r="F675" s="192">
        <v>0</v>
      </c>
    </row>
    <row r="676" spans="1:6" ht="12">
      <c r="A676" s="190">
        <v>240314</v>
      </c>
      <c r="B676" s="171" t="s">
        <v>991</v>
      </c>
      <c r="C676" s="200" t="s">
        <v>1473</v>
      </c>
      <c r="D676" s="178" t="s">
        <v>1474</v>
      </c>
      <c r="E676" s="180">
        <v>4865</v>
      </c>
      <c r="F676" s="192">
        <v>0</v>
      </c>
    </row>
    <row r="677" spans="1:6" ht="12">
      <c r="A677" s="190">
        <v>240314</v>
      </c>
      <c r="B677" s="171" t="s">
        <v>991</v>
      </c>
      <c r="C677" s="200" t="s">
        <v>1475</v>
      </c>
      <c r="D677" s="178" t="s">
        <v>1476</v>
      </c>
      <c r="E677" s="180">
        <v>8924</v>
      </c>
      <c r="F677" s="192">
        <v>0</v>
      </c>
    </row>
    <row r="678" spans="1:6" ht="12">
      <c r="A678" s="190">
        <v>240314</v>
      </c>
      <c r="B678" s="171" t="s">
        <v>991</v>
      </c>
      <c r="C678" s="200" t="s">
        <v>1477</v>
      </c>
      <c r="D678" s="178" t="s">
        <v>1478</v>
      </c>
      <c r="E678" s="180">
        <v>5379</v>
      </c>
      <c r="F678" s="192">
        <v>0</v>
      </c>
    </row>
    <row r="679" spans="1:6" ht="12">
      <c r="A679" s="190">
        <v>240314</v>
      </c>
      <c r="B679" s="171" t="s">
        <v>991</v>
      </c>
      <c r="C679" s="200" t="s">
        <v>1479</v>
      </c>
      <c r="D679" s="178" t="s">
        <v>1480</v>
      </c>
      <c r="E679" s="180">
        <v>2326</v>
      </c>
      <c r="F679" s="192">
        <v>0</v>
      </c>
    </row>
    <row r="680" spans="1:6" ht="12">
      <c r="A680" s="190">
        <v>240314</v>
      </c>
      <c r="B680" s="171" t="s">
        <v>991</v>
      </c>
      <c r="C680" s="200">
        <v>213215232</v>
      </c>
      <c r="D680" s="178" t="s">
        <v>1481</v>
      </c>
      <c r="E680" s="180">
        <v>7380</v>
      </c>
      <c r="F680" s="192">
        <v>0</v>
      </c>
    </row>
    <row r="681" spans="1:6" ht="12">
      <c r="A681" s="190">
        <v>240314</v>
      </c>
      <c r="B681" s="171" t="s">
        <v>991</v>
      </c>
      <c r="C681" s="200" t="s">
        <v>1482</v>
      </c>
      <c r="D681" s="178" t="s">
        <v>1483</v>
      </c>
      <c r="E681" s="180">
        <v>2427</v>
      </c>
      <c r="F681" s="192">
        <v>0</v>
      </c>
    </row>
    <row r="682" spans="1:6" ht="12">
      <c r="A682" s="190">
        <v>240314</v>
      </c>
      <c r="B682" s="171" t="s">
        <v>991</v>
      </c>
      <c r="C682" s="200" t="s">
        <v>1484</v>
      </c>
      <c r="D682" s="178" t="s">
        <v>1485</v>
      </c>
      <c r="E682" s="180">
        <v>6770</v>
      </c>
      <c r="F682" s="192">
        <v>0</v>
      </c>
    </row>
    <row r="683" spans="1:6" ht="12">
      <c r="A683" s="190">
        <v>240314</v>
      </c>
      <c r="B683" s="171" t="s">
        <v>991</v>
      </c>
      <c r="C683" s="200" t="s">
        <v>1486</v>
      </c>
      <c r="D683" s="178" t="s">
        <v>1487</v>
      </c>
      <c r="E683" s="180">
        <v>3537</v>
      </c>
      <c r="F683" s="192">
        <v>0</v>
      </c>
    </row>
    <row r="684" spans="1:6" ht="12">
      <c r="A684" s="190">
        <v>240314</v>
      </c>
      <c r="B684" s="171" t="s">
        <v>991</v>
      </c>
      <c r="C684" s="200" t="s">
        <v>1488</v>
      </c>
      <c r="D684" s="178" t="s">
        <v>1489</v>
      </c>
      <c r="E684" s="180">
        <v>5985</v>
      </c>
      <c r="F684" s="192">
        <v>0</v>
      </c>
    </row>
    <row r="685" spans="1:6" ht="12">
      <c r="A685" s="190">
        <v>240314</v>
      </c>
      <c r="B685" s="171" t="s">
        <v>991</v>
      </c>
      <c r="C685" s="200" t="s">
        <v>1490</v>
      </c>
      <c r="D685" s="178" t="s">
        <v>1491</v>
      </c>
      <c r="E685" s="180">
        <v>4486</v>
      </c>
      <c r="F685" s="192">
        <v>0</v>
      </c>
    </row>
    <row r="686" spans="1:6" ht="12">
      <c r="A686" s="190">
        <v>240314</v>
      </c>
      <c r="B686" s="171" t="s">
        <v>991</v>
      </c>
      <c r="C686" s="200" t="s">
        <v>1492</v>
      </c>
      <c r="D686" s="178" t="s">
        <v>1493</v>
      </c>
      <c r="E686" s="180">
        <v>3760</v>
      </c>
      <c r="F686" s="192">
        <v>0</v>
      </c>
    </row>
    <row r="687" spans="1:6" ht="12">
      <c r="A687" s="190">
        <v>240314</v>
      </c>
      <c r="B687" s="171" t="s">
        <v>991</v>
      </c>
      <c r="C687" s="200" t="s">
        <v>1494</v>
      </c>
      <c r="D687" s="178" t="s">
        <v>1495</v>
      </c>
      <c r="E687" s="180">
        <v>5717</v>
      </c>
      <c r="F687" s="192">
        <v>0</v>
      </c>
    </row>
    <row r="688" spans="1:6" ht="12">
      <c r="A688" s="190">
        <v>240314</v>
      </c>
      <c r="B688" s="171" t="s">
        <v>991</v>
      </c>
      <c r="C688" s="200" t="s">
        <v>1496</v>
      </c>
      <c r="D688" s="178" t="s">
        <v>1497</v>
      </c>
      <c r="E688" s="180">
        <v>20012</v>
      </c>
      <c r="F688" s="192">
        <v>0</v>
      </c>
    </row>
    <row r="689" spans="1:6" ht="12">
      <c r="A689" s="190">
        <v>240314</v>
      </c>
      <c r="B689" s="171" t="s">
        <v>991</v>
      </c>
      <c r="C689" s="200" t="s">
        <v>1498</v>
      </c>
      <c r="D689" s="178" t="s">
        <v>1499</v>
      </c>
      <c r="E689" s="180">
        <v>2407</v>
      </c>
      <c r="F689" s="192">
        <v>0</v>
      </c>
    </row>
    <row r="690" spans="1:6" ht="12">
      <c r="A690" s="190">
        <v>240314</v>
      </c>
      <c r="B690" s="171" t="s">
        <v>991</v>
      </c>
      <c r="C690" s="200" t="s">
        <v>1500</v>
      </c>
      <c r="D690" s="178" t="s">
        <v>1501</v>
      </c>
      <c r="E690" s="180">
        <v>12887</v>
      </c>
      <c r="F690" s="192">
        <v>0</v>
      </c>
    </row>
    <row r="691" spans="1:6" ht="12">
      <c r="A691" s="190">
        <v>240314</v>
      </c>
      <c r="B691" s="171" t="s">
        <v>991</v>
      </c>
      <c r="C691" s="200" t="s">
        <v>1502</v>
      </c>
      <c r="D691" s="178" t="s">
        <v>1503</v>
      </c>
      <c r="E691" s="180">
        <v>4440</v>
      </c>
      <c r="F691" s="192">
        <v>0</v>
      </c>
    </row>
    <row r="692" spans="1:6" ht="12">
      <c r="A692" s="190">
        <v>240314</v>
      </c>
      <c r="B692" s="171" t="s">
        <v>991</v>
      </c>
      <c r="C692" s="200">
        <v>213215332</v>
      </c>
      <c r="D692" s="178" t="s">
        <v>1504</v>
      </c>
      <c r="E692" s="180">
        <v>4780</v>
      </c>
      <c r="F692" s="192">
        <v>0</v>
      </c>
    </row>
    <row r="693" spans="1:6" ht="12">
      <c r="A693" s="190">
        <v>240314</v>
      </c>
      <c r="B693" s="171" t="s">
        <v>991</v>
      </c>
      <c r="C693" s="200" t="s">
        <v>1505</v>
      </c>
      <c r="D693" s="178" t="s">
        <v>1506</v>
      </c>
      <c r="E693" s="180">
        <v>2412</v>
      </c>
      <c r="F693" s="192">
        <v>0</v>
      </c>
    </row>
    <row r="694" spans="1:6" ht="12">
      <c r="A694" s="190">
        <v>240314</v>
      </c>
      <c r="B694" s="171" t="s">
        <v>991</v>
      </c>
      <c r="C694" s="200" t="s">
        <v>1507</v>
      </c>
      <c r="D694" s="178" t="s">
        <v>1508</v>
      </c>
      <c r="E694" s="180">
        <v>7741</v>
      </c>
      <c r="F694" s="192">
        <v>0</v>
      </c>
    </row>
    <row r="695" spans="1:6" ht="12">
      <c r="A695" s="190">
        <v>240314</v>
      </c>
      <c r="B695" s="171" t="s">
        <v>991</v>
      </c>
      <c r="C695" s="200" t="s">
        <v>1509</v>
      </c>
      <c r="D695" s="178" t="s">
        <v>1195</v>
      </c>
      <c r="E695" s="180">
        <v>6261</v>
      </c>
      <c r="F695" s="192">
        <v>0</v>
      </c>
    </row>
    <row r="696" spans="1:6" ht="12">
      <c r="A696" s="190">
        <v>240314</v>
      </c>
      <c r="B696" s="171" t="s">
        <v>991</v>
      </c>
      <c r="C696" s="200" t="s">
        <v>1510</v>
      </c>
      <c r="D696" s="178" t="s">
        <v>1511</v>
      </c>
      <c r="E696" s="180">
        <v>6124</v>
      </c>
      <c r="F696" s="192">
        <v>0</v>
      </c>
    </row>
    <row r="697" spans="1:6" ht="12">
      <c r="A697" s="190">
        <v>240314</v>
      </c>
      <c r="B697" s="171" t="s">
        <v>991</v>
      </c>
      <c r="C697" s="200" t="s">
        <v>1512</v>
      </c>
      <c r="D697" s="178" t="s">
        <v>1513</v>
      </c>
      <c r="E697" s="180">
        <v>2861</v>
      </c>
      <c r="F697" s="192">
        <v>0</v>
      </c>
    </row>
    <row r="698" spans="1:6" ht="12">
      <c r="A698" s="190">
        <v>240314</v>
      </c>
      <c r="B698" s="171" t="s">
        <v>991</v>
      </c>
      <c r="C698" s="200" t="s">
        <v>1514</v>
      </c>
      <c r="D698" s="178" t="s">
        <v>1515</v>
      </c>
      <c r="E698" s="180">
        <v>1939</v>
      </c>
      <c r="F698" s="192">
        <v>0</v>
      </c>
    </row>
    <row r="699" spans="1:6" ht="12">
      <c r="A699" s="190">
        <v>240314</v>
      </c>
      <c r="B699" s="171" t="s">
        <v>991</v>
      </c>
      <c r="C699" s="200" t="s">
        <v>1516</v>
      </c>
      <c r="D699" s="178" t="s">
        <v>1517</v>
      </c>
      <c r="E699" s="180">
        <v>4254</v>
      </c>
      <c r="F699" s="192">
        <v>0</v>
      </c>
    </row>
    <row r="700" spans="1:6" ht="12">
      <c r="A700" s="190">
        <v>240314</v>
      </c>
      <c r="B700" s="171" t="s">
        <v>991</v>
      </c>
      <c r="C700" s="200" t="s">
        <v>1518</v>
      </c>
      <c r="D700" s="178" t="s">
        <v>1519</v>
      </c>
      <c r="E700" s="180">
        <v>13039</v>
      </c>
      <c r="F700" s="192">
        <v>0</v>
      </c>
    </row>
    <row r="701" spans="1:6" ht="12">
      <c r="A701" s="190">
        <v>240314</v>
      </c>
      <c r="B701" s="171" t="s">
        <v>991</v>
      </c>
      <c r="C701" s="200" t="s">
        <v>1520</v>
      </c>
      <c r="D701" s="178" t="s">
        <v>1521</v>
      </c>
      <c r="E701" s="180">
        <v>5601</v>
      </c>
      <c r="F701" s="192">
        <v>0</v>
      </c>
    </row>
    <row r="702" spans="1:6" ht="12">
      <c r="A702" s="190">
        <v>240314</v>
      </c>
      <c r="B702" s="171" t="s">
        <v>991</v>
      </c>
      <c r="C702" s="200" t="s">
        <v>1522</v>
      </c>
      <c r="D702" s="178" t="s">
        <v>1523</v>
      </c>
      <c r="E702" s="180">
        <v>11817</v>
      </c>
      <c r="F702" s="192">
        <v>0</v>
      </c>
    </row>
    <row r="703" spans="1:6" ht="12">
      <c r="A703" s="190">
        <v>240314</v>
      </c>
      <c r="B703" s="171" t="s">
        <v>991</v>
      </c>
      <c r="C703" s="200" t="s">
        <v>1524</v>
      </c>
      <c r="D703" s="178" t="s">
        <v>1525</v>
      </c>
      <c r="E703" s="180">
        <v>10854</v>
      </c>
      <c r="F703" s="192">
        <v>0</v>
      </c>
    </row>
    <row r="704" spans="1:6" ht="12">
      <c r="A704" s="190">
        <v>240314</v>
      </c>
      <c r="B704" s="171" t="s">
        <v>991</v>
      </c>
      <c r="C704" s="200" t="s">
        <v>1526</v>
      </c>
      <c r="D704" s="178" t="s">
        <v>1527</v>
      </c>
      <c r="E704" s="180">
        <v>6313</v>
      </c>
      <c r="F704" s="192">
        <v>0</v>
      </c>
    </row>
    <row r="705" spans="1:6" ht="12">
      <c r="A705" s="190">
        <v>240314</v>
      </c>
      <c r="B705" s="171" t="s">
        <v>991</v>
      </c>
      <c r="C705" s="200" t="s">
        <v>1528</v>
      </c>
      <c r="D705" s="178" t="s">
        <v>1529</v>
      </c>
      <c r="E705" s="180">
        <v>6918</v>
      </c>
      <c r="F705" s="192">
        <v>0</v>
      </c>
    </row>
    <row r="706" spans="1:6" ht="12">
      <c r="A706" s="190">
        <v>240314</v>
      </c>
      <c r="B706" s="171" t="s">
        <v>991</v>
      </c>
      <c r="C706" s="200" t="s">
        <v>1530</v>
      </c>
      <c r="D706" s="178" t="s">
        <v>1531</v>
      </c>
      <c r="E706" s="180">
        <v>27941</v>
      </c>
      <c r="F706" s="192">
        <v>0</v>
      </c>
    </row>
    <row r="707" spans="1:6" ht="12">
      <c r="A707" s="190">
        <v>240314</v>
      </c>
      <c r="B707" s="171" t="s">
        <v>991</v>
      </c>
      <c r="C707" s="200">
        <v>217615476</v>
      </c>
      <c r="D707" s="178" t="s">
        <v>1532</v>
      </c>
      <c r="E707" s="180">
        <v>6722</v>
      </c>
      <c r="F707" s="192">
        <v>0</v>
      </c>
    </row>
    <row r="708" spans="1:6" ht="12">
      <c r="A708" s="190">
        <v>240314</v>
      </c>
      <c r="B708" s="171" t="s">
        <v>991</v>
      </c>
      <c r="C708" s="200" t="s">
        <v>1533</v>
      </c>
      <c r="D708" s="178" t="s">
        <v>1534</v>
      </c>
      <c r="E708" s="180">
        <v>13620</v>
      </c>
      <c r="F708" s="192">
        <v>0</v>
      </c>
    </row>
    <row r="709" spans="1:6" ht="12">
      <c r="A709" s="190">
        <v>240314</v>
      </c>
      <c r="B709" s="171" t="s">
        <v>991</v>
      </c>
      <c r="C709" s="200" t="s">
        <v>1535</v>
      </c>
      <c r="D709" s="178" t="s">
        <v>1536</v>
      </c>
      <c r="E709" s="180">
        <v>15157</v>
      </c>
      <c r="F709" s="192">
        <v>0</v>
      </c>
    </row>
    <row r="710" spans="1:6" ht="12">
      <c r="A710" s="190">
        <v>240314</v>
      </c>
      <c r="B710" s="171" t="s">
        <v>991</v>
      </c>
      <c r="C710" s="200" t="s">
        <v>1537</v>
      </c>
      <c r="D710" s="178" t="s">
        <v>1538</v>
      </c>
      <c r="E710" s="180">
        <v>5874</v>
      </c>
      <c r="F710" s="192">
        <v>0</v>
      </c>
    </row>
    <row r="711" spans="1:6" ht="12">
      <c r="A711" s="190">
        <v>240314</v>
      </c>
      <c r="B711" s="171" t="s">
        <v>991</v>
      </c>
      <c r="C711" s="200" t="s">
        <v>1539</v>
      </c>
      <c r="D711" s="178" t="s">
        <v>1540</v>
      </c>
      <c r="E711" s="180">
        <v>3330</v>
      </c>
      <c r="F711" s="192">
        <v>0</v>
      </c>
    </row>
    <row r="712" spans="1:6" ht="12">
      <c r="A712" s="190">
        <v>240314</v>
      </c>
      <c r="B712" s="171" t="s">
        <v>991</v>
      </c>
      <c r="C712" s="200" t="s">
        <v>1541</v>
      </c>
      <c r="D712" s="178" t="s">
        <v>1542</v>
      </c>
      <c r="E712" s="180">
        <v>13460</v>
      </c>
      <c r="F712" s="192">
        <v>0</v>
      </c>
    </row>
    <row r="713" spans="1:6" ht="12">
      <c r="A713" s="190">
        <v>240314</v>
      </c>
      <c r="B713" s="171" t="s">
        <v>991</v>
      </c>
      <c r="C713" s="200" t="s">
        <v>1543</v>
      </c>
      <c r="D713" s="178" t="s">
        <v>1544</v>
      </c>
      <c r="E713" s="180">
        <v>2372</v>
      </c>
      <c r="F713" s="192">
        <v>0</v>
      </c>
    </row>
    <row r="714" spans="1:6" ht="12">
      <c r="A714" s="190">
        <v>240314</v>
      </c>
      <c r="B714" s="171" t="s">
        <v>991</v>
      </c>
      <c r="C714" s="200">
        <v>211415514</v>
      </c>
      <c r="D714" s="178" t="s">
        <v>1545</v>
      </c>
      <c r="E714" s="180">
        <v>4098</v>
      </c>
      <c r="F714" s="192">
        <v>0</v>
      </c>
    </row>
    <row r="715" spans="1:6" ht="12">
      <c r="A715" s="190">
        <v>240314</v>
      </c>
      <c r="B715" s="171" t="s">
        <v>991</v>
      </c>
      <c r="C715" s="200" t="s">
        <v>1546</v>
      </c>
      <c r="D715" s="178" t="s">
        <v>1547</v>
      </c>
      <c r="E715" s="180">
        <v>32742</v>
      </c>
      <c r="F715" s="192">
        <v>0</v>
      </c>
    </row>
    <row r="716" spans="1:6" ht="12">
      <c r="A716" s="190">
        <v>240314</v>
      </c>
      <c r="B716" s="171" t="s">
        <v>991</v>
      </c>
      <c r="C716" s="200" t="s">
        <v>1548</v>
      </c>
      <c r="D716" s="178" t="s">
        <v>1549</v>
      </c>
      <c r="E716" s="180">
        <v>3104</v>
      </c>
      <c r="F716" s="192">
        <v>0</v>
      </c>
    </row>
    <row r="717" spans="1:6" ht="12">
      <c r="A717" s="190">
        <v>240314</v>
      </c>
      <c r="B717" s="171" t="s">
        <v>991</v>
      </c>
      <c r="C717" s="200">
        <v>212215522</v>
      </c>
      <c r="D717" s="178" t="s">
        <v>1550</v>
      </c>
      <c r="E717" s="180">
        <v>2710</v>
      </c>
      <c r="F717" s="192">
        <v>0</v>
      </c>
    </row>
    <row r="718" spans="1:6" ht="12">
      <c r="A718" s="190">
        <v>240314</v>
      </c>
      <c r="B718" s="171" t="s">
        <v>991</v>
      </c>
      <c r="C718" s="200" t="s">
        <v>1551</v>
      </c>
      <c r="D718" s="178" t="s">
        <v>1552</v>
      </c>
      <c r="E718" s="180">
        <v>12000</v>
      </c>
      <c r="F718" s="192">
        <v>0</v>
      </c>
    </row>
    <row r="719" spans="1:6" ht="12">
      <c r="A719" s="190">
        <v>240314</v>
      </c>
      <c r="B719" s="171" t="s">
        <v>991</v>
      </c>
      <c r="C719" s="200" t="s">
        <v>1553</v>
      </c>
      <c r="D719" s="178" t="s">
        <v>1554</v>
      </c>
      <c r="E719" s="180">
        <v>3942</v>
      </c>
      <c r="F719" s="192">
        <v>0</v>
      </c>
    </row>
    <row r="720" spans="1:6" ht="12">
      <c r="A720" s="190">
        <v>240314</v>
      </c>
      <c r="B720" s="171" t="s">
        <v>991</v>
      </c>
      <c r="C720" s="200" t="s">
        <v>1555</v>
      </c>
      <c r="D720" s="178" t="s">
        <v>1556</v>
      </c>
      <c r="E720" s="180">
        <v>6101</v>
      </c>
      <c r="F720" s="192">
        <v>0</v>
      </c>
    </row>
    <row r="721" spans="1:6" ht="12">
      <c r="A721" s="190">
        <v>240314</v>
      </c>
      <c r="B721" s="171" t="s">
        <v>991</v>
      </c>
      <c r="C721" s="200" t="s">
        <v>1557</v>
      </c>
      <c r="D721" s="178" t="s">
        <v>1558</v>
      </c>
      <c r="E721" s="180">
        <v>9810</v>
      </c>
      <c r="F721" s="192">
        <v>0</v>
      </c>
    </row>
    <row r="722" spans="1:6" ht="12">
      <c r="A722" s="190">
        <v>240314</v>
      </c>
      <c r="B722" s="171" t="s">
        <v>991</v>
      </c>
      <c r="C722" s="200" t="s">
        <v>1559</v>
      </c>
      <c r="D722" s="178" t="s">
        <v>1560</v>
      </c>
      <c r="E722" s="180">
        <v>2373</v>
      </c>
      <c r="F722" s="192">
        <v>0</v>
      </c>
    </row>
    <row r="723" spans="1:6" ht="12">
      <c r="A723" s="190">
        <v>240314</v>
      </c>
      <c r="B723" s="171" t="s">
        <v>991</v>
      </c>
      <c r="C723" s="200" t="s">
        <v>1561</v>
      </c>
      <c r="D723" s="178" t="s">
        <v>1562</v>
      </c>
      <c r="E723" s="180">
        <v>56668</v>
      </c>
      <c r="F723" s="192">
        <v>0</v>
      </c>
    </row>
    <row r="724" spans="1:6" ht="12">
      <c r="A724" s="190">
        <v>240314</v>
      </c>
      <c r="B724" s="171" t="s">
        <v>991</v>
      </c>
      <c r="C724" s="200">
        <v>218015580</v>
      </c>
      <c r="D724" s="178" t="s">
        <v>1563</v>
      </c>
      <c r="E724" s="180">
        <v>9516</v>
      </c>
      <c r="F724" s="192">
        <v>0</v>
      </c>
    </row>
    <row r="725" spans="1:6" ht="12">
      <c r="A725" s="190">
        <v>240314</v>
      </c>
      <c r="B725" s="171" t="s">
        <v>991</v>
      </c>
      <c r="C725" s="200" t="s">
        <v>1564</v>
      </c>
      <c r="D725" s="178" t="s">
        <v>1565</v>
      </c>
      <c r="E725" s="180">
        <v>12333</v>
      </c>
      <c r="F725" s="192">
        <v>0</v>
      </c>
    </row>
    <row r="726" spans="1:6" ht="12">
      <c r="A726" s="190">
        <v>240314</v>
      </c>
      <c r="B726" s="171" t="s">
        <v>991</v>
      </c>
      <c r="C726" s="200">
        <v>210015600</v>
      </c>
      <c r="D726" s="178" t="s">
        <v>1566</v>
      </c>
      <c r="E726" s="180">
        <v>7307</v>
      </c>
      <c r="F726" s="192">
        <v>0</v>
      </c>
    </row>
    <row r="727" spans="1:6" ht="12">
      <c r="A727" s="190">
        <v>240314</v>
      </c>
      <c r="B727" s="171" t="s">
        <v>991</v>
      </c>
      <c r="C727" s="200" t="s">
        <v>1567</v>
      </c>
      <c r="D727" s="178" t="s">
        <v>1568</v>
      </c>
      <c r="E727" s="180">
        <v>3104</v>
      </c>
      <c r="F727" s="192">
        <v>0</v>
      </c>
    </row>
    <row r="728" spans="1:6" ht="12">
      <c r="A728" s="190">
        <v>240314</v>
      </c>
      <c r="B728" s="171" t="s">
        <v>991</v>
      </c>
      <c r="C728" s="200" t="s">
        <v>1569</v>
      </c>
      <c r="D728" s="178" t="s">
        <v>1570</v>
      </c>
      <c r="E728" s="180">
        <v>18481</v>
      </c>
      <c r="F728" s="192">
        <v>0</v>
      </c>
    </row>
    <row r="729" spans="1:6" ht="12">
      <c r="A729" s="190">
        <v>240314</v>
      </c>
      <c r="B729" s="171" t="s">
        <v>991</v>
      </c>
      <c r="C729" s="200" t="s">
        <v>1571</v>
      </c>
      <c r="D729" s="178" t="s">
        <v>1572</v>
      </c>
      <c r="E729" s="180">
        <v>4410</v>
      </c>
      <c r="F729" s="192">
        <v>0</v>
      </c>
    </row>
    <row r="730" spans="1:6" ht="12">
      <c r="A730" s="190">
        <v>240314</v>
      </c>
      <c r="B730" s="171" t="s">
        <v>991</v>
      </c>
      <c r="C730" s="200" t="s">
        <v>1573</v>
      </c>
      <c r="D730" s="178" t="s">
        <v>1574</v>
      </c>
      <c r="E730" s="180">
        <v>20361</v>
      </c>
      <c r="F730" s="192">
        <v>0</v>
      </c>
    </row>
    <row r="731" spans="1:6" ht="12">
      <c r="A731" s="190">
        <v>240314</v>
      </c>
      <c r="B731" s="171" t="s">
        <v>991</v>
      </c>
      <c r="C731" s="200" t="s">
        <v>1575</v>
      </c>
      <c r="D731" s="178" t="s">
        <v>1576</v>
      </c>
      <c r="E731" s="180">
        <v>2644</v>
      </c>
      <c r="F731" s="192">
        <v>0</v>
      </c>
    </row>
    <row r="732" spans="1:6" ht="12">
      <c r="A732" s="190">
        <v>240314</v>
      </c>
      <c r="B732" s="171" t="s">
        <v>991</v>
      </c>
      <c r="C732" s="200" t="s">
        <v>1577</v>
      </c>
      <c r="D732" s="178" t="s">
        <v>1578</v>
      </c>
      <c r="E732" s="180">
        <v>6928</v>
      </c>
      <c r="F732" s="192">
        <v>0</v>
      </c>
    </row>
    <row r="733" spans="1:6" ht="12">
      <c r="A733" s="190">
        <v>240314</v>
      </c>
      <c r="B733" s="171" t="s">
        <v>991</v>
      </c>
      <c r="C733" s="200" t="s">
        <v>1579</v>
      </c>
      <c r="D733" s="178" t="s">
        <v>1580</v>
      </c>
      <c r="E733" s="180">
        <v>7131</v>
      </c>
      <c r="F733" s="192">
        <v>0</v>
      </c>
    </row>
    <row r="734" spans="1:6" ht="12">
      <c r="A734" s="190">
        <v>240314</v>
      </c>
      <c r="B734" s="171" t="s">
        <v>991</v>
      </c>
      <c r="C734" s="200" t="s">
        <v>1581</v>
      </c>
      <c r="D734" s="178" t="s">
        <v>1582</v>
      </c>
      <c r="E734" s="180">
        <v>6359</v>
      </c>
      <c r="F734" s="192">
        <v>0</v>
      </c>
    </row>
    <row r="735" spans="1:6" ht="12">
      <c r="A735" s="190">
        <v>240314</v>
      </c>
      <c r="B735" s="171" t="s">
        <v>991</v>
      </c>
      <c r="C735" s="200">
        <v>217615676</v>
      </c>
      <c r="D735" s="178" t="s">
        <v>1583</v>
      </c>
      <c r="E735" s="180">
        <v>5182</v>
      </c>
      <c r="F735" s="192">
        <v>0</v>
      </c>
    </row>
    <row r="736" spans="1:6" ht="12">
      <c r="A736" s="190">
        <v>240314</v>
      </c>
      <c r="B736" s="171" t="s">
        <v>991</v>
      </c>
      <c r="C736" s="200">
        <v>218115681</v>
      </c>
      <c r="D736" s="178" t="s">
        <v>1584</v>
      </c>
      <c r="E736" s="180">
        <v>12929</v>
      </c>
      <c r="F736" s="192">
        <v>0</v>
      </c>
    </row>
    <row r="737" spans="1:6" ht="12">
      <c r="A737" s="190">
        <v>240314</v>
      </c>
      <c r="B737" s="171" t="s">
        <v>991</v>
      </c>
      <c r="C737" s="200">
        <v>218615686</v>
      </c>
      <c r="D737" s="178" t="s">
        <v>1585</v>
      </c>
      <c r="E737" s="180">
        <v>10259</v>
      </c>
      <c r="F737" s="192">
        <v>0</v>
      </c>
    </row>
    <row r="738" spans="1:6" ht="12">
      <c r="A738" s="190">
        <v>240314</v>
      </c>
      <c r="B738" s="171" t="s">
        <v>991</v>
      </c>
      <c r="C738" s="200">
        <v>219015690</v>
      </c>
      <c r="D738" s="178" t="s">
        <v>1586</v>
      </c>
      <c r="E738" s="180">
        <v>5793</v>
      </c>
      <c r="F738" s="192">
        <v>0</v>
      </c>
    </row>
    <row r="739" spans="1:6" ht="12">
      <c r="A739" s="190">
        <v>240314</v>
      </c>
      <c r="B739" s="171" t="s">
        <v>991</v>
      </c>
      <c r="C739" s="200">
        <v>219315693</v>
      </c>
      <c r="D739" s="178" t="s">
        <v>1587</v>
      </c>
      <c r="E739" s="180">
        <v>12241</v>
      </c>
      <c r="F739" s="192">
        <v>0</v>
      </c>
    </row>
    <row r="740" spans="1:6" ht="12">
      <c r="A740" s="190">
        <v>240314</v>
      </c>
      <c r="B740" s="171" t="s">
        <v>991</v>
      </c>
      <c r="C740" s="200">
        <v>219615696</v>
      </c>
      <c r="D740" s="178" t="s">
        <v>1588</v>
      </c>
      <c r="E740" s="180">
        <v>3134</v>
      </c>
      <c r="F740" s="192">
        <v>0</v>
      </c>
    </row>
    <row r="741" spans="1:6" ht="12">
      <c r="A741" s="190">
        <v>240314</v>
      </c>
      <c r="B741" s="171" t="s">
        <v>991</v>
      </c>
      <c r="C741" s="200">
        <v>212015720</v>
      </c>
      <c r="D741" s="178" t="s">
        <v>1589</v>
      </c>
      <c r="E741" s="180">
        <v>3009</v>
      </c>
      <c r="F741" s="192">
        <v>0</v>
      </c>
    </row>
    <row r="742" spans="1:6" ht="12">
      <c r="A742" s="190">
        <v>240314</v>
      </c>
      <c r="B742" s="171" t="s">
        <v>991</v>
      </c>
      <c r="C742" s="200">
        <v>212315723</v>
      </c>
      <c r="D742" s="178" t="s">
        <v>1590</v>
      </c>
      <c r="E742" s="180">
        <v>1564</v>
      </c>
      <c r="F742" s="192">
        <v>0</v>
      </c>
    </row>
    <row r="743" spans="1:6" ht="12">
      <c r="A743" s="190">
        <v>240314</v>
      </c>
      <c r="B743" s="171" t="s">
        <v>991</v>
      </c>
      <c r="C743" s="200">
        <v>214015740</v>
      </c>
      <c r="D743" s="178" t="s">
        <v>1591</v>
      </c>
      <c r="E743" s="180">
        <v>11470</v>
      </c>
      <c r="F743" s="192">
        <v>0</v>
      </c>
    </row>
    <row r="744" spans="1:6" ht="12">
      <c r="A744" s="190">
        <v>240314</v>
      </c>
      <c r="B744" s="171" t="s">
        <v>991</v>
      </c>
      <c r="C744" s="200">
        <v>215315753</v>
      </c>
      <c r="D744" s="178" t="s">
        <v>1592</v>
      </c>
      <c r="E744" s="180">
        <v>12561</v>
      </c>
      <c r="F744" s="192">
        <v>0</v>
      </c>
    </row>
    <row r="745" spans="1:6" ht="12">
      <c r="A745" s="190">
        <v>240314</v>
      </c>
      <c r="B745" s="171" t="s">
        <v>991</v>
      </c>
      <c r="C745" s="200">
        <v>215515755</v>
      </c>
      <c r="D745" s="178" t="s">
        <v>1593</v>
      </c>
      <c r="E745" s="180">
        <v>10874</v>
      </c>
      <c r="F745" s="192">
        <v>0</v>
      </c>
    </row>
    <row r="746" spans="1:6" ht="12">
      <c r="A746" s="190">
        <v>240314</v>
      </c>
      <c r="B746" s="171" t="s">
        <v>991</v>
      </c>
      <c r="C746" s="200">
        <v>215715757</v>
      </c>
      <c r="D746" s="178" t="s">
        <v>1594</v>
      </c>
      <c r="E746" s="180">
        <v>9290</v>
      </c>
      <c r="F746" s="192">
        <v>0</v>
      </c>
    </row>
    <row r="747" spans="1:6" ht="12">
      <c r="A747" s="190">
        <v>240314</v>
      </c>
      <c r="B747" s="171" t="s">
        <v>991</v>
      </c>
      <c r="C747" s="200">
        <v>216115761</v>
      </c>
      <c r="D747" s="178" t="s">
        <v>1595</v>
      </c>
      <c r="E747" s="180">
        <v>4673</v>
      </c>
      <c r="F747" s="192">
        <v>0</v>
      </c>
    </row>
    <row r="748" spans="1:6" ht="12">
      <c r="A748" s="190">
        <v>240314</v>
      </c>
      <c r="B748" s="171" t="s">
        <v>991</v>
      </c>
      <c r="C748" s="200">
        <v>216215762</v>
      </c>
      <c r="D748" s="178" t="s">
        <v>1596</v>
      </c>
      <c r="E748" s="180">
        <v>4461</v>
      </c>
      <c r="F748" s="192">
        <v>0</v>
      </c>
    </row>
    <row r="749" spans="1:6" ht="12">
      <c r="A749" s="190">
        <v>240314</v>
      </c>
      <c r="B749" s="171" t="s">
        <v>991</v>
      </c>
      <c r="C749" s="200">
        <v>216315763</v>
      </c>
      <c r="D749" s="178" t="s">
        <v>1597</v>
      </c>
      <c r="E749" s="180">
        <v>9512</v>
      </c>
      <c r="F749" s="192">
        <v>0</v>
      </c>
    </row>
    <row r="750" spans="1:6" ht="12">
      <c r="A750" s="190">
        <v>240314</v>
      </c>
      <c r="B750" s="171" t="s">
        <v>991</v>
      </c>
      <c r="C750" s="200">
        <v>216415764</v>
      </c>
      <c r="D750" s="178" t="s">
        <v>1598</v>
      </c>
      <c r="E750" s="180">
        <v>8014</v>
      </c>
      <c r="F750" s="192">
        <v>0</v>
      </c>
    </row>
    <row r="751" spans="1:6" ht="12">
      <c r="A751" s="190">
        <v>240314</v>
      </c>
      <c r="B751" s="171" t="s">
        <v>991</v>
      </c>
      <c r="C751" s="200">
        <v>217415774</v>
      </c>
      <c r="D751" s="178" t="s">
        <v>1599</v>
      </c>
      <c r="E751" s="180">
        <v>3827</v>
      </c>
      <c r="F751" s="192">
        <v>0</v>
      </c>
    </row>
    <row r="752" spans="1:6" ht="12">
      <c r="A752" s="190">
        <v>240314</v>
      </c>
      <c r="B752" s="171" t="s">
        <v>991</v>
      </c>
      <c r="C752" s="200">
        <v>217615776</v>
      </c>
      <c r="D752" s="178" t="s">
        <v>1600</v>
      </c>
      <c r="E752" s="180">
        <v>6080</v>
      </c>
      <c r="F752" s="192">
        <v>0</v>
      </c>
    </row>
    <row r="753" spans="1:6" ht="12">
      <c r="A753" s="190">
        <v>240314</v>
      </c>
      <c r="B753" s="171" t="s">
        <v>991</v>
      </c>
      <c r="C753" s="200">
        <v>217815778</v>
      </c>
      <c r="D753" s="178" t="s">
        <v>1601</v>
      </c>
      <c r="E753" s="180">
        <v>5066</v>
      </c>
      <c r="F753" s="192">
        <v>0</v>
      </c>
    </row>
    <row r="754" spans="1:6" ht="12">
      <c r="A754" s="190">
        <v>240314</v>
      </c>
      <c r="B754" s="171" t="s">
        <v>991</v>
      </c>
      <c r="C754" s="200">
        <v>219015790</v>
      </c>
      <c r="D754" s="178" t="s">
        <v>1602</v>
      </c>
      <c r="E754" s="180">
        <v>7176</v>
      </c>
      <c r="F754" s="192">
        <v>0</v>
      </c>
    </row>
    <row r="755" spans="1:6" ht="12">
      <c r="A755" s="190">
        <v>240314</v>
      </c>
      <c r="B755" s="171" t="s">
        <v>991</v>
      </c>
      <c r="C755" s="200">
        <v>219815798</v>
      </c>
      <c r="D755" s="178" t="s">
        <v>1603</v>
      </c>
      <c r="E755" s="180">
        <v>4794</v>
      </c>
      <c r="F755" s="192">
        <v>0</v>
      </c>
    </row>
    <row r="756" spans="1:6" ht="12">
      <c r="A756" s="190">
        <v>240314</v>
      </c>
      <c r="B756" s="171" t="s">
        <v>991</v>
      </c>
      <c r="C756" s="200">
        <v>210415804</v>
      </c>
      <c r="D756" s="178" t="s">
        <v>1604</v>
      </c>
      <c r="E756" s="180">
        <v>10713</v>
      </c>
      <c r="F756" s="192">
        <v>0</v>
      </c>
    </row>
    <row r="757" spans="1:6" ht="12">
      <c r="A757" s="190">
        <v>240314</v>
      </c>
      <c r="B757" s="171" t="s">
        <v>991</v>
      </c>
      <c r="C757" s="200">
        <v>210615806</v>
      </c>
      <c r="D757" s="178" t="s">
        <v>1605</v>
      </c>
      <c r="E757" s="180">
        <v>13452</v>
      </c>
      <c r="F757" s="192">
        <v>0</v>
      </c>
    </row>
    <row r="758" spans="1:6" ht="12">
      <c r="A758" s="190">
        <v>240314</v>
      </c>
      <c r="B758" s="171" t="s">
        <v>991</v>
      </c>
      <c r="C758" s="200">
        <v>210815808</v>
      </c>
      <c r="D758" s="178" t="s">
        <v>1606</v>
      </c>
      <c r="E758" s="180">
        <v>2810</v>
      </c>
      <c r="F758" s="192">
        <v>0</v>
      </c>
    </row>
    <row r="759" spans="1:6" ht="12">
      <c r="A759" s="190">
        <v>240314</v>
      </c>
      <c r="B759" s="171" t="s">
        <v>991</v>
      </c>
      <c r="C759" s="200">
        <v>211015810</v>
      </c>
      <c r="D759" s="178" t="s">
        <v>1607</v>
      </c>
      <c r="E759" s="180">
        <v>4661</v>
      </c>
      <c r="F759" s="192">
        <v>0</v>
      </c>
    </row>
    <row r="760" spans="1:6" ht="12">
      <c r="A760" s="190">
        <v>240314</v>
      </c>
      <c r="B760" s="171" t="s">
        <v>991</v>
      </c>
      <c r="C760" s="200">
        <v>211415814</v>
      </c>
      <c r="D760" s="178" t="s">
        <v>1608</v>
      </c>
      <c r="E760" s="180">
        <v>11808</v>
      </c>
      <c r="F760" s="192">
        <v>0</v>
      </c>
    </row>
    <row r="761" spans="1:6" ht="12">
      <c r="A761" s="190">
        <v>240314</v>
      </c>
      <c r="B761" s="171" t="s">
        <v>991</v>
      </c>
      <c r="C761" s="200">
        <v>211615816</v>
      </c>
      <c r="D761" s="178" t="s">
        <v>1609</v>
      </c>
      <c r="E761" s="180">
        <v>6399</v>
      </c>
      <c r="F761" s="192">
        <v>0</v>
      </c>
    </row>
    <row r="762" spans="1:6" ht="12">
      <c r="A762" s="190">
        <v>240314</v>
      </c>
      <c r="B762" s="171" t="s">
        <v>991</v>
      </c>
      <c r="C762" s="200">
        <v>212015820</v>
      </c>
      <c r="D762" s="178" t="s">
        <v>1610</v>
      </c>
      <c r="E762" s="180">
        <v>4965</v>
      </c>
      <c r="F762" s="192">
        <v>0</v>
      </c>
    </row>
    <row r="763" spans="1:6" ht="12">
      <c r="A763" s="190">
        <v>240314</v>
      </c>
      <c r="B763" s="171" t="s">
        <v>991</v>
      </c>
      <c r="C763" s="200">
        <v>212215822</v>
      </c>
      <c r="D763" s="178" t="s">
        <v>1611</v>
      </c>
      <c r="E763" s="180">
        <v>6994</v>
      </c>
      <c r="F763" s="192">
        <v>0</v>
      </c>
    </row>
    <row r="764" spans="1:6" ht="12">
      <c r="A764" s="190">
        <v>240314</v>
      </c>
      <c r="B764" s="171" t="s">
        <v>991</v>
      </c>
      <c r="C764" s="200">
        <v>213215832</v>
      </c>
      <c r="D764" s="178" t="s">
        <v>1612</v>
      </c>
      <c r="E764" s="180">
        <v>2279</v>
      </c>
      <c r="F764" s="192">
        <v>0</v>
      </c>
    </row>
    <row r="765" spans="1:6" ht="12">
      <c r="A765" s="190">
        <v>240314</v>
      </c>
      <c r="B765" s="171" t="s">
        <v>991</v>
      </c>
      <c r="C765" s="200">
        <v>213515835</v>
      </c>
      <c r="D765" s="178" t="s">
        <v>1613</v>
      </c>
      <c r="E765" s="180">
        <v>9320</v>
      </c>
      <c r="F765" s="192">
        <v>0</v>
      </c>
    </row>
    <row r="766" spans="1:6" ht="12">
      <c r="A766" s="190">
        <v>240314</v>
      </c>
      <c r="B766" s="171" t="s">
        <v>991</v>
      </c>
      <c r="C766" s="200">
        <v>213715837</v>
      </c>
      <c r="D766" s="178" t="s">
        <v>1614</v>
      </c>
      <c r="E766" s="180">
        <v>11535</v>
      </c>
      <c r="F766" s="192">
        <v>0</v>
      </c>
    </row>
    <row r="767" spans="1:6" ht="12">
      <c r="A767" s="190">
        <v>240314</v>
      </c>
      <c r="B767" s="171" t="s">
        <v>991</v>
      </c>
      <c r="C767" s="200">
        <v>213915839</v>
      </c>
      <c r="D767" s="178" t="s">
        <v>1615</v>
      </c>
      <c r="E767" s="180">
        <v>3088</v>
      </c>
      <c r="F767" s="192">
        <v>0</v>
      </c>
    </row>
    <row r="768" spans="1:6" ht="12">
      <c r="A768" s="190">
        <v>240314</v>
      </c>
      <c r="B768" s="171" t="s">
        <v>991</v>
      </c>
      <c r="C768" s="200">
        <v>214215842</v>
      </c>
      <c r="D768" s="178" t="s">
        <v>1616</v>
      </c>
      <c r="E768" s="180">
        <v>10667</v>
      </c>
      <c r="F768" s="192">
        <v>0</v>
      </c>
    </row>
    <row r="769" spans="1:6" ht="12">
      <c r="A769" s="190">
        <v>240314</v>
      </c>
      <c r="B769" s="171" t="s">
        <v>991</v>
      </c>
      <c r="C769" s="200">
        <v>216115861</v>
      </c>
      <c r="D769" s="178" t="s">
        <v>1617</v>
      </c>
      <c r="E769" s="180">
        <v>18201</v>
      </c>
      <c r="F769" s="192">
        <v>0</v>
      </c>
    </row>
    <row r="770" spans="1:6" ht="12">
      <c r="A770" s="190">
        <v>240314</v>
      </c>
      <c r="B770" s="171" t="s">
        <v>991</v>
      </c>
      <c r="C770" s="200">
        <v>217915879</v>
      </c>
      <c r="D770" s="178" t="s">
        <v>1618</v>
      </c>
      <c r="E770" s="180">
        <v>3936</v>
      </c>
      <c r="F770" s="192">
        <v>0</v>
      </c>
    </row>
    <row r="771" spans="1:6" ht="12">
      <c r="A771" s="190">
        <v>240314</v>
      </c>
      <c r="B771" s="171" t="s">
        <v>991</v>
      </c>
      <c r="C771" s="200">
        <v>219715897</v>
      </c>
      <c r="D771" s="178" t="s">
        <v>1619</v>
      </c>
      <c r="E771" s="180">
        <v>8301</v>
      </c>
      <c r="F771" s="192">
        <v>0</v>
      </c>
    </row>
    <row r="772" spans="1:6" ht="12">
      <c r="A772" s="190">
        <v>240314</v>
      </c>
      <c r="B772" s="171" t="s">
        <v>991</v>
      </c>
      <c r="C772" s="200" t="s">
        <v>1620</v>
      </c>
      <c r="D772" s="178" t="s">
        <v>1621</v>
      </c>
      <c r="E772" s="180">
        <v>30257</v>
      </c>
      <c r="F772" s="192">
        <v>0</v>
      </c>
    </row>
    <row r="773" spans="1:6" ht="12">
      <c r="A773" s="190">
        <v>240314</v>
      </c>
      <c r="B773" s="171" t="s">
        <v>991</v>
      </c>
      <c r="C773" s="200">
        <v>214217042</v>
      </c>
      <c r="D773" s="178" t="s">
        <v>1622</v>
      </c>
      <c r="E773" s="180">
        <v>43198</v>
      </c>
      <c r="F773" s="192">
        <v>0</v>
      </c>
    </row>
    <row r="774" spans="1:6" ht="12">
      <c r="A774" s="190">
        <v>240314</v>
      </c>
      <c r="B774" s="171" t="s">
        <v>991</v>
      </c>
      <c r="C774" s="200">
        <v>215017050</v>
      </c>
      <c r="D774" s="178" t="s">
        <v>1623</v>
      </c>
      <c r="E774" s="180">
        <v>16011</v>
      </c>
      <c r="F774" s="192">
        <v>0</v>
      </c>
    </row>
    <row r="775" spans="1:6" ht="12">
      <c r="A775" s="190">
        <v>240314</v>
      </c>
      <c r="B775" s="171" t="s">
        <v>991</v>
      </c>
      <c r="C775" s="200">
        <v>218817088</v>
      </c>
      <c r="D775" s="178" t="s">
        <v>1624</v>
      </c>
      <c r="E775" s="180">
        <v>13554</v>
      </c>
      <c r="F775" s="192">
        <v>0</v>
      </c>
    </row>
    <row r="776" spans="1:6" ht="12">
      <c r="A776" s="190">
        <v>240314</v>
      </c>
      <c r="B776" s="171" t="s">
        <v>991</v>
      </c>
      <c r="C776" s="200">
        <v>217417174</v>
      </c>
      <c r="D776" s="178" t="s">
        <v>1625</v>
      </c>
      <c r="E776" s="180">
        <v>56902</v>
      </c>
      <c r="F776" s="192">
        <v>0</v>
      </c>
    </row>
    <row r="777" spans="1:6" ht="12">
      <c r="A777" s="190">
        <v>240314</v>
      </c>
      <c r="B777" s="171" t="s">
        <v>991</v>
      </c>
      <c r="C777" s="200">
        <v>217217272</v>
      </c>
      <c r="D777" s="178" t="s">
        <v>1626</v>
      </c>
      <c r="E777" s="180">
        <v>13236</v>
      </c>
      <c r="F777" s="192">
        <v>0</v>
      </c>
    </row>
    <row r="778" spans="1:6" ht="12">
      <c r="A778" s="190">
        <v>240314</v>
      </c>
      <c r="B778" s="171" t="s">
        <v>991</v>
      </c>
      <c r="C778" s="200">
        <v>218017380</v>
      </c>
      <c r="D778" s="178" t="s">
        <v>1627</v>
      </c>
      <c r="E778" s="180">
        <v>81159</v>
      </c>
      <c r="F778" s="192">
        <v>0</v>
      </c>
    </row>
    <row r="779" spans="1:6" ht="12">
      <c r="A779" s="190">
        <v>240314</v>
      </c>
      <c r="B779" s="171" t="s">
        <v>991</v>
      </c>
      <c r="C779" s="200">
        <v>218817388</v>
      </c>
      <c r="D779" s="178" t="s">
        <v>1628</v>
      </c>
      <c r="E779" s="180">
        <v>9467</v>
      </c>
      <c r="F779" s="192">
        <v>0</v>
      </c>
    </row>
    <row r="780" spans="1:6" ht="12">
      <c r="A780" s="190">
        <v>240314</v>
      </c>
      <c r="B780" s="171" t="s">
        <v>991</v>
      </c>
      <c r="C780" s="200">
        <v>213317433</v>
      </c>
      <c r="D780" s="178" t="s">
        <v>1629</v>
      </c>
      <c r="E780" s="180">
        <v>22864</v>
      </c>
      <c r="F780" s="192">
        <v>0</v>
      </c>
    </row>
    <row r="781" spans="1:6" ht="12">
      <c r="A781" s="190">
        <v>240314</v>
      </c>
      <c r="B781" s="171" t="s">
        <v>991</v>
      </c>
      <c r="C781" s="200">
        <v>214217442</v>
      </c>
      <c r="D781" s="178" t="s">
        <v>1630</v>
      </c>
      <c r="E781" s="180">
        <v>12020</v>
      </c>
      <c r="F781" s="192">
        <v>0</v>
      </c>
    </row>
    <row r="782" spans="1:6" ht="12">
      <c r="A782" s="190">
        <v>240314</v>
      </c>
      <c r="B782" s="171" t="s">
        <v>991</v>
      </c>
      <c r="C782" s="200">
        <v>214417444</v>
      </c>
      <c r="D782" s="178" t="s">
        <v>1631</v>
      </c>
      <c r="E782" s="180">
        <v>17697</v>
      </c>
      <c r="F782" s="192">
        <v>0</v>
      </c>
    </row>
    <row r="783" spans="1:6" ht="12">
      <c r="A783" s="190">
        <v>240314</v>
      </c>
      <c r="B783" s="171" t="s">
        <v>991</v>
      </c>
      <c r="C783" s="200">
        <v>214617446</v>
      </c>
      <c r="D783" s="178" t="s">
        <v>1632</v>
      </c>
      <c r="E783" s="180">
        <v>3164</v>
      </c>
      <c r="F783" s="192">
        <v>0</v>
      </c>
    </row>
    <row r="784" spans="1:6" ht="12">
      <c r="A784" s="190">
        <v>240314</v>
      </c>
      <c r="B784" s="171" t="s">
        <v>991</v>
      </c>
      <c r="C784" s="200">
        <v>218617486</v>
      </c>
      <c r="D784" s="178" t="s">
        <v>1633</v>
      </c>
      <c r="E784" s="180">
        <v>28171</v>
      </c>
      <c r="F784" s="192">
        <v>0</v>
      </c>
    </row>
    <row r="785" spans="1:6" ht="12">
      <c r="A785" s="190">
        <v>240314</v>
      </c>
      <c r="B785" s="171" t="s">
        <v>991</v>
      </c>
      <c r="C785" s="200">
        <v>219517495</v>
      </c>
      <c r="D785" s="178" t="s">
        <v>1634</v>
      </c>
      <c r="E785" s="180">
        <v>9170</v>
      </c>
      <c r="F785" s="192">
        <v>0</v>
      </c>
    </row>
    <row r="786" spans="1:6" ht="12">
      <c r="A786" s="190">
        <v>240314</v>
      </c>
      <c r="B786" s="171" t="s">
        <v>991</v>
      </c>
      <c r="C786" s="200">
        <v>211317513</v>
      </c>
      <c r="D786" s="178" t="s">
        <v>1635</v>
      </c>
      <c r="E786" s="180">
        <v>18761</v>
      </c>
      <c r="F786" s="192">
        <v>0</v>
      </c>
    </row>
    <row r="787" spans="1:6" ht="12">
      <c r="A787" s="190">
        <v>240314</v>
      </c>
      <c r="B787" s="171" t="s">
        <v>991</v>
      </c>
      <c r="C787" s="200">
        <v>212417524</v>
      </c>
      <c r="D787" s="178" t="s">
        <v>1636</v>
      </c>
      <c r="E787" s="180">
        <v>21103</v>
      </c>
      <c r="F787" s="192">
        <v>0</v>
      </c>
    </row>
    <row r="788" spans="1:6" ht="12">
      <c r="A788" s="190">
        <v>240314</v>
      </c>
      <c r="B788" s="171" t="s">
        <v>991</v>
      </c>
      <c r="C788" s="200">
        <v>214117541</v>
      </c>
      <c r="D788" s="178" t="s">
        <v>1637</v>
      </c>
      <c r="E788" s="180">
        <v>29918</v>
      </c>
      <c r="F788" s="192">
        <v>0</v>
      </c>
    </row>
    <row r="789" spans="1:6" ht="12">
      <c r="A789" s="190">
        <v>240314</v>
      </c>
      <c r="B789" s="171" t="s">
        <v>991</v>
      </c>
      <c r="C789" s="200">
        <v>211527615</v>
      </c>
      <c r="D789" s="178" t="s">
        <v>1638</v>
      </c>
      <c r="E789" s="180">
        <v>65826</v>
      </c>
      <c r="F789" s="192">
        <v>0</v>
      </c>
    </row>
    <row r="790" spans="1:6" ht="12">
      <c r="A790" s="190">
        <v>240314</v>
      </c>
      <c r="B790" s="171" t="s">
        <v>991</v>
      </c>
      <c r="C790" s="200">
        <v>211617616</v>
      </c>
      <c r="D790" s="178" t="s">
        <v>1009</v>
      </c>
      <c r="E790" s="180">
        <v>12233</v>
      </c>
      <c r="F790" s="192">
        <v>0</v>
      </c>
    </row>
    <row r="791" spans="1:6" ht="12">
      <c r="A791" s="190">
        <v>240314</v>
      </c>
      <c r="B791" s="171" t="s">
        <v>991</v>
      </c>
      <c r="C791" s="200">
        <v>215317653</v>
      </c>
      <c r="D791" s="178" t="s">
        <v>1639</v>
      </c>
      <c r="E791" s="180">
        <v>23024</v>
      </c>
      <c r="F791" s="192">
        <v>0</v>
      </c>
    </row>
    <row r="792" spans="1:6" ht="12">
      <c r="A792" s="190">
        <v>240314</v>
      </c>
      <c r="B792" s="171" t="s">
        <v>991</v>
      </c>
      <c r="C792" s="200">
        <v>216217662</v>
      </c>
      <c r="D792" s="178" t="s">
        <v>1640</v>
      </c>
      <c r="E792" s="180">
        <v>29830</v>
      </c>
      <c r="F792" s="192">
        <v>0</v>
      </c>
    </row>
    <row r="793" spans="1:6" ht="12">
      <c r="A793" s="190">
        <v>240314</v>
      </c>
      <c r="B793" s="171" t="s">
        <v>991</v>
      </c>
      <c r="C793" s="200">
        <v>216517665</v>
      </c>
      <c r="D793" s="178" t="s">
        <v>1641</v>
      </c>
      <c r="E793" s="180">
        <v>7049</v>
      </c>
      <c r="F793" s="192">
        <v>0</v>
      </c>
    </row>
    <row r="794" spans="1:6" ht="12">
      <c r="A794" s="190">
        <v>240314</v>
      </c>
      <c r="B794" s="171" t="s">
        <v>991</v>
      </c>
      <c r="C794" s="200">
        <v>217717777</v>
      </c>
      <c r="D794" s="178" t="s">
        <v>1642</v>
      </c>
      <c r="E794" s="180">
        <v>31527</v>
      </c>
      <c r="F794" s="192">
        <v>0</v>
      </c>
    </row>
    <row r="795" spans="1:6" ht="12">
      <c r="A795" s="190">
        <v>240314</v>
      </c>
      <c r="B795" s="171" t="s">
        <v>991</v>
      </c>
      <c r="C795" s="200">
        <v>216717867</v>
      </c>
      <c r="D795" s="178" t="s">
        <v>1643</v>
      </c>
      <c r="E795" s="180">
        <v>11319</v>
      </c>
      <c r="F795" s="192">
        <v>0</v>
      </c>
    </row>
    <row r="796" spans="1:6" ht="12">
      <c r="A796" s="190">
        <v>240314</v>
      </c>
      <c r="B796" s="171" t="s">
        <v>991</v>
      </c>
      <c r="C796" s="200">
        <v>217317873</v>
      </c>
      <c r="D796" s="178" t="s">
        <v>1644</v>
      </c>
      <c r="E796" s="180">
        <v>45007</v>
      </c>
      <c r="F796" s="192">
        <v>0</v>
      </c>
    </row>
    <row r="797" spans="1:6" ht="12">
      <c r="A797" s="190">
        <v>240314</v>
      </c>
      <c r="B797" s="171" t="s">
        <v>991</v>
      </c>
      <c r="C797" s="200">
        <v>217717877</v>
      </c>
      <c r="D797" s="178" t="s">
        <v>1645</v>
      </c>
      <c r="E797" s="180">
        <v>19064</v>
      </c>
      <c r="F797" s="192">
        <v>0</v>
      </c>
    </row>
    <row r="798" spans="1:6" ht="12">
      <c r="A798" s="190">
        <v>240314</v>
      </c>
      <c r="B798" s="171" t="s">
        <v>991</v>
      </c>
      <c r="C798" s="200">
        <v>212918029</v>
      </c>
      <c r="D798" s="178" t="s">
        <v>1646</v>
      </c>
      <c r="E798" s="180">
        <v>9522</v>
      </c>
      <c r="F798" s="192">
        <v>0</v>
      </c>
    </row>
    <row r="799" spans="1:6" ht="12">
      <c r="A799" s="190">
        <v>240314</v>
      </c>
      <c r="B799" s="171" t="s">
        <v>991</v>
      </c>
      <c r="C799" s="200">
        <v>219418094</v>
      </c>
      <c r="D799" s="178" t="s">
        <v>1647</v>
      </c>
      <c r="E799" s="180">
        <v>17466</v>
      </c>
      <c r="F799" s="192">
        <v>0</v>
      </c>
    </row>
    <row r="800" spans="1:6" ht="12">
      <c r="A800" s="190">
        <v>240314</v>
      </c>
      <c r="B800" s="171" t="s">
        <v>991</v>
      </c>
      <c r="C800" s="200">
        <v>215018150</v>
      </c>
      <c r="D800" s="178" t="s">
        <v>1648</v>
      </c>
      <c r="E800" s="180">
        <v>47576</v>
      </c>
      <c r="F800" s="192">
        <v>0</v>
      </c>
    </row>
    <row r="801" spans="1:6" ht="12">
      <c r="A801" s="190">
        <v>240314</v>
      </c>
      <c r="B801" s="171" t="s">
        <v>991</v>
      </c>
      <c r="C801" s="200" t="s">
        <v>1649</v>
      </c>
      <c r="D801" s="178" t="s">
        <v>1650</v>
      </c>
      <c r="E801" s="180">
        <v>18022</v>
      </c>
      <c r="F801" s="192">
        <v>0</v>
      </c>
    </row>
    <row r="802" spans="1:6" ht="12">
      <c r="A802" s="190">
        <v>240314</v>
      </c>
      <c r="B802" s="171" t="s">
        <v>991</v>
      </c>
      <c r="C802" s="200" t="s">
        <v>1651</v>
      </c>
      <c r="D802" s="178" t="s">
        <v>1652</v>
      </c>
      <c r="E802" s="180">
        <v>31175</v>
      </c>
      <c r="F802" s="192">
        <v>0</v>
      </c>
    </row>
    <row r="803" spans="1:6" ht="12">
      <c r="A803" s="190">
        <v>240314</v>
      </c>
      <c r="B803" s="171" t="s">
        <v>991</v>
      </c>
      <c r="C803" s="200" t="s">
        <v>1653</v>
      </c>
      <c r="D803" s="178" t="s">
        <v>1654</v>
      </c>
      <c r="E803" s="180">
        <v>19797</v>
      </c>
      <c r="F803" s="192">
        <v>0</v>
      </c>
    </row>
    <row r="804" spans="1:6" ht="12">
      <c r="A804" s="190">
        <v>240314</v>
      </c>
      <c r="B804" s="171" t="s">
        <v>991</v>
      </c>
      <c r="C804" s="200" t="s">
        <v>1655</v>
      </c>
      <c r="D804" s="178" t="s">
        <v>1656</v>
      </c>
      <c r="E804" s="180">
        <v>27256</v>
      </c>
      <c r="F804" s="192">
        <v>0</v>
      </c>
    </row>
    <row r="805" spans="1:6" ht="12">
      <c r="A805" s="190">
        <v>240314</v>
      </c>
      <c r="B805" s="171" t="s">
        <v>991</v>
      </c>
      <c r="C805" s="200" t="s">
        <v>1657</v>
      </c>
      <c r="D805" s="178" t="s">
        <v>1658</v>
      </c>
      <c r="E805" s="180">
        <v>25183</v>
      </c>
      <c r="F805" s="192">
        <v>0</v>
      </c>
    </row>
    <row r="806" spans="1:6" ht="12">
      <c r="A806" s="190">
        <v>240314</v>
      </c>
      <c r="B806" s="171" t="s">
        <v>991</v>
      </c>
      <c r="C806" s="200" t="s">
        <v>1659</v>
      </c>
      <c r="D806" s="178" t="s">
        <v>1660</v>
      </c>
      <c r="E806" s="180">
        <v>5304</v>
      </c>
      <c r="F806" s="192">
        <v>0</v>
      </c>
    </row>
    <row r="807" spans="1:6" ht="12">
      <c r="A807" s="190">
        <v>240314</v>
      </c>
      <c r="B807" s="171" t="s">
        <v>991</v>
      </c>
      <c r="C807" s="200" t="s">
        <v>1661</v>
      </c>
      <c r="D807" s="178" t="s">
        <v>1662</v>
      </c>
      <c r="E807" s="180">
        <v>61597</v>
      </c>
      <c r="F807" s="192">
        <v>0</v>
      </c>
    </row>
    <row r="808" spans="1:6" ht="12">
      <c r="A808" s="190">
        <v>240314</v>
      </c>
      <c r="B808" s="171" t="s">
        <v>991</v>
      </c>
      <c r="C808" s="200">
        <v>211018610</v>
      </c>
      <c r="D808" s="178" t="s">
        <v>1663</v>
      </c>
      <c r="E808" s="180">
        <v>22016</v>
      </c>
      <c r="F808" s="192">
        <v>0</v>
      </c>
    </row>
    <row r="809" spans="1:6" ht="12">
      <c r="A809" s="190">
        <v>240314</v>
      </c>
      <c r="B809" s="171" t="s">
        <v>991</v>
      </c>
      <c r="C809" s="200">
        <v>215318753</v>
      </c>
      <c r="D809" s="178" t="s">
        <v>1664</v>
      </c>
      <c r="E809" s="180">
        <v>93570</v>
      </c>
      <c r="F809" s="192">
        <v>0</v>
      </c>
    </row>
    <row r="810" spans="1:6" ht="12">
      <c r="A810" s="190">
        <v>240314</v>
      </c>
      <c r="B810" s="171" t="s">
        <v>991</v>
      </c>
      <c r="C810" s="200">
        <v>215618756</v>
      </c>
      <c r="D810" s="178" t="s">
        <v>1665</v>
      </c>
      <c r="E810" s="180">
        <v>20490</v>
      </c>
      <c r="F810" s="192">
        <v>0</v>
      </c>
    </row>
    <row r="811" spans="1:6" ht="12">
      <c r="A811" s="190">
        <v>240314</v>
      </c>
      <c r="B811" s="171" t="s">
        <v>991</v>
      </c>
      <c r="C811" s="200">
        <v>218518785</v>
      </c>
      <c r="D811" s="178" t="s">
        <v>1666</v>
      </c>
      <c r="E811" s="180">
        <v>13630</v>
      </c>
      <c r="F811" s="192">
        <v>0</v>
      </c>
    </row>
    <row r="812" spans="1:6" ht="12">
      <c r="A812" s="190">
        <v>240314</v>
      </c>
      <c r="B812" s="171" t="s">
        <v>991</v>
      </c>
      <c r="C812" s="200">
        <v>216018860</v>
      </c>
      <c r="D812" s="178" t="s">
        <v>1298</v>
      </c>
      <c r="E812" s="180">
        <v>15877</v>
      </c>
      <c r="F812" s="192">
        <v>0</v>
      </c>
    </row>
    <row r="813" spans="1:6" ht="12">
      <c r="A813" s="190">
        <v>240314</v>
      </c>
      <c r="B813" s="171" t="s">
        <v>991</v>
      </c>
      <c r="C813" s="200" t="s">
        <v>1667</v>
      </c>
      <c r="D813" s="178" t="s">
        <v>1668</v>
      </c>
      <c r="E813" s="180">
        <v>23080</v>
      </c>
      <c r="F813" s="192">
        <v>0</v>
      </c>
    </row>
    <row r="814" spans="1:6" ht="12">
      <c r="A814" s="190">
        <v>240314</v>
      </c>
      <c r="B814" s="171" t="s">
        <v>991</v>
      </c>
      <c r="C814" s="200" t="s">
        <v>1669</v>
      </c>
      <c r="D814" s="178" t="s">
        <v>1114</v>
      </c>
      <c r="E814" s="180">
        <v>32532</v>
      </c>
      <c r="F814" s="192">
        <v>0</v>
      </c>
    </row>
    <row r="815" spans="1:6" ht="12">
      <c r="A815" s="190">
        <v>240314</v>
      </c>
      <c r="B815" s="171" t="s">
        <v>991</v>
      </c>
      <c r="C815" s="200" t="s">
        <v>1670</v>
      </c>
      <c r="D815" s="178" t="s">
        <v>1671</v>
      </c>
      <c r="E815" s="180">
        <v>23512</v>
      </c>
      <c r="F815" s="192">
        <v>0</v>
      </c>
    </row>
    <row r="816" spans="1:6" ht="12">
      <c r="A816" s="190">
        <v>240314</v>
      </c>
      <c r="B816" s="171" t="s">
        <v>991</v>
      </c>
      <c r="C816" s="200" t="s">
        <v>1672</v>
      </c>
      <c r="D816" s="178" t="s">
        <v>994</v>
      </c>
      <c r="E816" s="180">
        <v>53177</v>
      </c>
      <c r="F816" s="192">
        <v>0</v>
      </c>
    </row>
    <row r="817" spans="1:6" ht="12">
      <c r="A817" s="190">
        <v>240314</v>
      </c>
      <c r="B817" s="171" t="s">
        <v>991</v>
      </c>
      <c r="C817" s="200" t="s">
        <v>1673</v>
      </c>
      <c r="D817" s="178" t="s">
        <v>1674</v>
      </c>
      <c r="E817" s="180">
        <v>32371</v>
      </c>
      <c r="F817" s="192">
        <v>0</v>
      </c>
    </row>
    <row r="818" spans="1:6" ht="12">
      <c r="A818" s="190">
        <v>240314</v>
      </c>
      <c r="B818" s="171" t="s">
        <v>991</v>
      </c>
      <c r="C818" s="200" t="s">
        <v>1675</v>
      </c>
      <c r="D818" s="178" t="s">
        <v>1676</v>
      </c>
      <c r="E818" s="180">
        <v>40723</v>
      </c>
      <c r="F818" s="192">
        <v>0</v>
      </c>
    </row>
    <row r="819" spans="1:6" ht="12">
      <c r="A819" s="190">
        <v>240314</v>
      </c>
      <c r="B819" s="171" t="s">
        <v>991</v>
      </c>
      <c r="C819" s="200">
        <v>213719137</v>
      </c>
      <c r="D819" s="178" t="s">
        <v>1677</v>
      </c>
      <c r="E819" s="180">
        <v>51247</v>
      </c>
      <c r="F819" s="192">
        <v>0</v>
      </c>
    </row>
    <row r="820" spans="1:6" ht="12">
      <c r="A820" s="190">
        <v>240314</v>
      </c>
      <c r="B820" s="171" t="s">
        <v>991</v>
      </c>
      <c r="C820" s="200">
        <v>214219142</v>
      </c>
      <c r="D820" s="178" t="s">
        <v>1678</v>
      </c>
      <c r="E820" s="180">
        <v>49566</v>
      </c>
      <c r="F820" s="192">
        <v>0</v>
      </c>
    </row>
    <row r="821" spans="1:6" ht="12">
      <c r="A821" s="190">
        <v>240314</v>
      </c>
      <c r="B821" s="171" t="s">
        <v>991</v>
      </c>
      <c r="C821" s="200">
        <v>211219212</v>
      </c>
      <c r="D821" s="178" t="s">
        <v>1679</v>
      </c>
      <c r="E821" s="180">
        <v>34265</v>
      </c>
      <c r="F821" s="192">
        <v>0</v>
      </c>
    </row>
    <row r="822" spans="1:6" ht="12">
      <c r="A822" s="190">
        <v>240314</v>
      </c>
      <c r="B822" s="171" t="s">
        <v>991</v>
      </c>
      <c r="C822" s="200">
        <v>215619256</v>
      </c>
      <c r="D822" s="178" t="s">
        <v>1680</v>
      </c>
      <c r="E822" s="180">
        <v>57237</v>
      </c>
      <c r="F822" s="192">
        <v>0</v>
      </c>
    </row>
    <row r="823" spans="1:6" ht="12">
      <c r="A823" s="190">
        <v>240314</v>
      </c>
      <c r="B823" s="171" t="s">
        <v>991</v>
      </c>
      <c r="C823" s="200">
        <v>219019290</v>
      </c>
      <c r="D823" s="178" t="s">
        <v>1047</v>
      </c>
      <c r="E823" s="180">
        <v>6272</v>
      </c>
      <c r="F823" s="192">
        <v>0</v>
      </c>
    </row>
    <row r="824" spans="1:6" ht="12">
      <c r="A824" s="190">
        <v>240314</v>
      </c>
      <c r="B824" s="171" t="s">
        <v>991</v>
      </c>
      <c r="C824" s="200">
        <v>211819318</v>
      </c>
      <c r="D824" s="178" t="s">
        <v>1681</v>
      </c>
      <c r="E824" s="180">
        <v>66051</v>
      </c>
      <c r="F824" s="192">
        <v>0</v>
      </c>
    </row>
    <row r="825" spans="1:6" ht="12">
      <c r="A825" s="190">
        <v>240314</v>
      </c>
      <c r="B825" s="171" t="s">
        <v>991</v>
      </c>
      <c r="C825" s="200">
        <v>215519355</v>
      </c>
      <c r="D825" s="178" t="s">
        <v>1682</v>
      </c>
      <c r="E825" s="180">
        <v>44296</v>
      </c>
      <c r="F825" s="192">
        <v>0</v>
      </c>
    </row>
    <row r="826" spans="1:6" ht="12">
      <c r="A826" s="190">
        <v>240314</v>
      </c>
      <c r="B826" s="171" t="s">
        <v>991</v>
      </c>
      <c r="C826" s="200">
        <v>216419364</v>
      </c>
      <c r="D826" s="178" t="s">
        <v>1683</v>
      </c>
      <c r="E826" s="180">
        <v>28749</v>
      </c>
      <c r="F826" s="192">
        <v>0</v>
      </c>
    </row>
    <row r="827" spans="1:6" ht="12">
      <c r="A827" s="190">
        <v>240314</v>
      </c>
      <c r="B827" s="171" t="s">
        <v>991</v>
      </c>
      <c r="C827" s="200">
        <v>219219392</v>
      </c>
      <c r="D827" s="178" t="s">
        <v>1684</v>
      </c>
      <c r="E827" s="180">
        <v>15146</v>
      </c>
      <c r="F827" s="192">
        <v>0</v>
      </c>
    </row>
    <row r="828" spans="1:6" ht="12">
      <c r="A828" s="190">
        <v>240314</v>
      </c>
      <c r="B828" s="171" t="s">
        <v>991</v>
      </c>
      <c r="C828" s="200">
        <v>219719397</v>
      </c>
      <c r="D828" s="178" t="s">
        <v>1685</v>
      </c>
      <c r="E828" s="180">
        <v>32632</v>
      </c>
      <c r="F828" s="192">
        <v>0</v>
      </c>
    </row>
    <row r="829" spans="1:6" ht="12">
      <c r="A829" s="190">
        <v>240314</v>
      </c>
      <c r="B829" s="171" t="s">
        <v>991</v>
      </c>
      <c r="C829" s="200">
        <v>211819418</v>
      </c>
      <c r="D829" s="178" t="s">
        <v>1686</v>
      </c>
      <c r="E829" s="180">
        <v>46271</v>
      </c>
      <c r="F829" s="192">
        <v>0</v>
      </c>
    </row>
    <row r="830" spans="1:6" ht="12">
      <c r="A830" s="190">
        <v>240314</v>
      </c>
      <c r="B830" s="171" t="s">
        <v>991</v>
      </c>
      <c r="C830" s="200">
        <v>215019450</v>
      </c>
      <c r="D830" s="178" t="s">
        <v>1687</v>
      </c>
      <c r="E830" s="180">
        <v>20859</v>
      </c>
      <c r="F830" s="192">
        <v>0</v>
      </c>
    </row>
    <row r="831" spans="1:6" ht="12">
      <c r="A831" s="190">
        <v>240314</v>
      </c>
      <c r="B831" s="171" t="s">
        <v>991</v>
      </c>
      <c r="C831" s="200">
        <v>215519455</v>
      </c>
      <c r="D831" s="178" t="s">
        <v>1688</v>
      </c>
      <c r="E831" s="180">
        <v>33340</v>
      </c>
      <c r="F831" s="192">
        <v>0</v>
      </c>
    </row>
    <row r="832" spans="1:6" ht="12">
      <c r="A832" s="190">
        <v>240314</v>
      </c>
      <c r="B832" s="171" t="s">
        <v>991</v>
      </c>
      <c r="C832" s="200">
        <v>217319473</v>
      </c>
      <c r="D832" s="178" t="s">
        <v>1391</v>
      </c>
      <c r="E832" s="180">
        <v>35727</v>
      </c>
      <c r="F832" s="192">
        <v>0</v>
      </c>
    </row>
    <row r="833" spans="1:6" ht="12">
      <c r="A833" s="190">
        <v>240314</v>
      </c>
      <c r="B833" s="171" t="s">
        <v>991</v>
      </c>
      <c r="C833" s="200">
        <v>211319513</v>
      </c>
      <c r="D833" s="178" t="s">
        <v>1689</v>
      </c>
      <c r="E833" s="180">
        <v>12328</v>
      </c>
      <c r="F833" s="192">
        <v>0</v>
      </c>
    </row>
    <row r="834" spans="1:6" ht="12">
      <c r="A834" s="190">
        <v>240314</v>
      </c>
      <c r="B834" s="171" t="s">
        <v>991</v>
      </c>
      <c r="C834" s="200">
        <v>211719517</v>
      </c>
      <c r="D834" s="178" t="s">
        <v>1545</v>
      </c>
      <c r="E834" s="180">
        <v>61361</v>
      </c>
      <c r="F834" s="192">
        <v>0</v>
      </c>
    </row>
    <row r="835" spans="1:6" ht="12">
      <c r="A835" s="190">
        <v>240314</v>
      </c>
      <c r="B835" s="171" t="s">
        <v>991</v>
      </c>
      <c r="C835" s="200">
        <v>213219532</v>
      </c>
      <c r="D835" s="178" t="s">
        <v>1690</v>
      </c>
      <c r="E835" s="180">
        <v>42416</v>
      </c>
      <c r="F835" s="192">
        <v>0</v>
      </c>
    </row>
    <row r="836" spans="1:6" ht="12">
      <c r="A836" s="190">
        <v>240314</v>
      </c>
      <c r="B836" s="171" t="s">
        <v>991</v>
      </c>
      <c r="C836" s="200">
        <v>213319533</v>
      </c>
      <c r="D836" s="178" t="s">
        <v>1691</v>
      </c>
      <c r="E836" s="180">
        <v>12588</v>
      </c>
      <c r="F836" s="192">
        <v>0</v>
      </c>
    </row>
    <row r="837" spans="1:6" ht="12">
      <c r="A837" s="190">
        <v>240314</v>
      </c>
      <c r="B837" s="171" t="s">
        <v>991</v>
      </c>
      <c r="C837" s="200">
        <v>214819548</v>
      </c>
      <c r="D837" s="178" t="s">
        <v>1692</v>
      </c>
      <c r="E837" s="180">
        <v>41168</v>
      </c>
      <c r="F837" s="192">
        <v>0</v>
      </c>
    </row>
    <row r="838" spans="1:6" ht="12">
      <c r="A838" s="190">
        <v>240314</v>
      </c>
      <c r="B838" s="171" t="s">
        <v>991</v>
      </c>
      <c r="C838" s="200">
        <v>217319573</v>
      </c>
      <c r="D838" s="178" t="s">
        <v>1693</v>
      </c>
      <c r="E838" s="180">
        <v>54224</v>
      </c>
      <c r="F838" s="192">
        <v>0</v>
      </c>
    </row>
    <row r="839" spans="1:6" ht="12">
      <c r="A839" s="190">
        <v>240314</v>
      </c>
      <c r="B839" s="171" t="s">
        <v>991</v>
      </c>
      <c r="C839" s="200">
        <v>218519585</v>
      </c>
      <c r="D839" s="178" t="s">
        <v>1694</v>
      </c>
      <c r="E839" s="180">
        <v>24332</v>
      </c>
      <c r="F839" s="192">
        <v>0</v>
      </c>
    </row>
    <row r="840" spans="1:6" ht="12">
      <c r="A840" s="190">
        <v>240314</v>
      </c>
      <c r="B840" s="171" t="s">
        <v>991</v>
      </c>
      <c r="C840" s="200">
        <v>212219622</v>
      </c>
      <c r="D840" s="178" t="s">
        <v>1695</v>
      </c>
      <c r="E840" s="180">
        <v>12417</v>
      </c>
      <c r="F840" s="192">
        <v>0</v>
      </c>
    </row>
    <row r="841" spans="1:6" ht="12">
      <c r="A841" s="190">
        <v>240314</v>
      </c>
      <c r="B841" s="171" t="s">
        <v>991</v>
      </c>
      <c r="C841" s="200">
        <v>219319693</v>
      </c>
      <c r="D841" s="178" t="s">
        <v>1696</v>
      </c>
      <c r="E841" s="180">
        <v>13587</v>
      </c>
      <c r="F841" s="192">
        <v>0</v>
      </c>
    </row>
    <row r="842" spans="1:6" ht="12">
      <c r="A842" s="190">
        <v>240314</v>
      </c>
      <c r="B842" s="171" t="s">
        <v>991</v>
      </c>
      <c r="C842" s="200">
        <v>219819698</v>
      </c>
      <c r="D842" s="178" t="s">
        <v>1697</v>
      </c>
      <c r="E842" s="180">
        <v>94640</v>
      </c>
      <c r="F842" s="192">
        <v>0</v>
      </c>
    </row>
    <row r="843" spans="1:6" ht="12">
      <c r="A843" s="190">
        <v>240314</v>
      </c>
      <c r="B843" s="171" t="s">
        <v>991</v>
      </c>
      <c r="C843" s="200">
        <v>210119701</v>
      </c>
      <c r="D843" s="178" t="s">
        <v>1412</v>
      </c>
      <c r="E843" s="180">
        <v>10956</v>
      </c>
      <c r="F843" s="192">
        <v>0</v>
      </c>
    </row>
    <row r="844" spans="1:6" ht="12">
      <c r="A844" s="190">
        <v>240314</v>
      </c>
      <c r="B844" s="171" t="s">
        <v>991</v>
      </c>
      <c r="C844" s="200">
        <v>214319743</v>
      </c>
      <c r="D844" s="178" t="s">
        <v>1698</v>
      </c>
      <c r="E844" s="180">
        <v>55549</v>
      </c>
      <c r="F844" s="192">
        <v>0</v>
      </c>
    </row>
    <row r="845" spans="1:6" ht="12">
      <c r="A845" s="190">
        <v>240314</v>
      </c>
      <c r="B845" s="171" t="s">
        <v>991</v>
      </c>
      <c r="C845" s="200">
        <v>216019760</v>
      </c>
      <c r="D845" s="178" t="s">
        <v>1699</v>
      </c>
      <c r="E845" s="180">
        <v>15069</v>
      </c>
      <c r="F845" s="192">
        <v>0</v>
      </c>
    </row>
    <row r="846" spans="1:6" ht="12">
      <c r="A846" s="190">
        <v>240314</v>
      </c>
      <c r="B846" s="171" t="s">
        <v>991</v>
      </c>
      <c r="C846" s="200">
        <v>218019780</v>
      </c>
      <c r="D846" s="178" t="s">
        <v>1700</v>
      </c>
      <c r="E846" s="180">
        <v>30506</v>
      </c>
      <c r="F846" s="192">
        <v>0</v>
      </c>
    </row>
    <row r="847" spans="1:6" ht="12">
      <c r="A847" s="190">
        <v>240314</v>
      </c>
      <c r="B847" s="171" t="s">
        <v>991</v>
      </c>
      <c r="C847" s="200">
        <v>218519785</v>
      </c>
      <c r="D847" s="178" t="s">
        <v>1011</v>
      </c>
      <c r="E847" s="180">
        <v>9321</v>
      </c>
      <c r="F847" s="192">
        <v>0</v>
      </c>
    </row>
    <row r="848" spans="1:6" ht="12">
      <c r="A848" s="190">
        <v>240314</v>
      </c>
      <c r="B848" s="171" t="s">
        <v>991</v>
      </c>
      <c r="C848" s="200">
        <v>210719807</v>
      </c>
      <c r="D848" s="178" t="s">
        <v>1701</v>
      </c>
      <c r="E848" s="180">
        <v>34410</v>
      </c>
      <c r="F848" s="192">
        <v>0</v>
      </c>
    </row>
    <row r="849" spans="1:6" ht="12">
      <c r="A849" s="190">
        <v>240314</v>
      </c>
      <c r="B849" s="171" t="s">
        <v>991</v>
      </c>
      <c r="C849" s="174">
        <v>210919809</v>
      </c>
      <c r="D849" s="178" t="s">
        <v>1702</v>
      </c>
      <c r="E849" s="180">
        <v>53664</v>
      </c>
      <c r="F849" s="192">
        <v>0</v>
      </c>
    </row>
    <row r="850" spans="1:6" ht="12">
      <c r="A850" s="190">
        <v>240314</v>
      </c>
      <c r="B850" s="171" t="s">
        <v>991</v>
      </c>
      <c r="C850" s="174">
        <v>212119821</v>
      </c>
      <c r="D850" s="178" t="s">
        <v>1703</v>
      </c>
      <c r="E850" s="180">
        <v>59510</v>
      </c>
      <c r="F850" s="192">
        <v>0</v>
      </c>
    </row>
    <row r="851" spans="1:6" ht="12">
      <c r="A851" s="190">
        <v>240314</v>
      </c>
      <c r="B851" s="171" t="s">
        <v>991</v>
      </c>
      <c r="C851" s="200">
        <v>212419824</v>
      </c>
      <c r="D851" s="178" t="s">
        <v>1704</v>
      </c>
      <c r="E851" s="180">
        <v>26951</v>
      </c>
      <c r="F851" s="192">
        <v>0</v>
      </c>
    </row>
    <row r="852" spans="1:6" ht="12">
      <c r="A852" s="190">
        <v>240314</v>
      </c>
      <c r="B852" s="171" t="s">
        <v>991</v>
      </c>
      <c r="C852" s="174">
        <v>214519845</v>
      </c>
      <c r="D852" s="178" t="s">
        <v>1705</v>
      </c>
      <c r="E852" s="180">
        <v>16224</v>
      </c>
      <c r="F852" s="192">
        <v>0</v>
      </c>
    </row>
    <row r="853" spans="1:6" ht="12">
      <c r="A853" s="190">
        <v>240314</v>
      </c>
      <c r="B853" s="171" t="s">
        <v>991</v>
      </c>
      <c r="C853" s="174" t="s">
        <v>1706</v>
      </c>
      <c r="D853" s="178" t="s">
        <v>1707</v>
      </c>
      <c r="E853" s="180">
        <v>115684</v>
      </c>
      <c r="F853" s="192">
        <v>0</v>
      </c>
    </row>
    <row r="854" spans="1:6" ht="12">
      <c r="A854" s="190">
        <v>240314</v>
      </c>
      <c r="B854" s="171" t="s">
        <v>991</v>
      </c>
      <c r="C854" s="174" t="s">
        <v>1708</v>
      </c>
      <c r="D854" s="178" t="s">
        <v>1709</v>
      </c>
      <c r="E854" s="180">
        <v>79552</v>
      </c>
      <c r="F854" s="192">
        <v>0</v>
      </c>
    </row>
    <row r="855" spans="1:6" ht="12">
      <c r="A855" s="190">
        <v>240314</v>
      </c>
      <c r="B855" s="171" t="s">
        <v>991</v>
      </c>
      <c r="C855" s="174" t="s">
        <v>1710</v>
      </c>
      <c r="D855" s="178" t="s">
        <v>1711</v>
      </c>
      <c r="E855" s="180">
        <v>36880</v>
      </c>
      <c r="F855" s="192">
        <v>0</v>
      </c>
    </row>
    <row r="856" spans="1:6" ht="12">
      <c r="A856" s="190">
        <v>240314</v>
      </c>
      <c r="B856" s="171" t="s">
        <v>991</v>
      </c>
      <c r="C856" s="174" t="s">
        <v>1712</v>
      </c>
      <c r="D856" s="178" t="s">
        <v>1713</v>
      </c>
      <c r="E856" s="180">
        <v>27007</v>
      </c>
      <c r="F856" s="192">
        <v>0</v>
      </c>
    </row>
    <row r="857" spans="1:6" ht="12">
      <c r="A857" s="190">
        <v>240314</v>
      </c>
      <c r="B857" s="171" t="s">
        <v>991</v>
      </c>
      <c r="C857" s="174" t="s">
        <v>1714</v>
      </c>
      <c r="D857" s="178" t="s">
        <v>1715</v>
      </c>
      <c r="E857" s="180">
        <v>39794</v>
      </c>
      <c r="F857" s="192">
        <v>0</v>
      </c>
    </row>
    <row r="858" spans="1:6" ht="12">
      <c r="A858" s="190">
        <v>240314</v>
      </c>
      <c r="B858" s="171" t="s">
        <v>991</v>
      </c>
      <c r="C858" s="174" t="s">
        <v>1716</v>
      </c>
      <c r="D858" s="178" t="s">
        <v>1717</v>
      </c>
      <c r="E858" s="180">
        <v>64950</v>
      </c>
      <c r="F858" s="192">
        <v>0</v>
      </c>
    </row>
    <row r="859" spans="1:6" ht="12">
      <c r="A859" s="190">
        <v>240314</v>
      </c>
      <c r="B859" s="171" t="s">
        <v>991</v>
      </c>
      <c r="C859" s="174">
        <v>217820178</v>
      </c>
      <c r="D859" s="178" t="s">
        <v>1718</v>
      </c>
      <c r="E859" s="180">
        <v>41378</v>
      </c>
      <c r="F859" s="192">
        <v>0</v>
      </c>
    </row>
    <row r="860" spans="1:6" ht="12">
      <c r="A860" s="190">
        <v>240314</v>
      </c>
      <c r="B860" s="171" t="s">
        <v>991</v>
      </c>
      <c r="C860" s="174" t="s">
        <v>1719</v>
      </c>
      <c r="D860" s="178" t="s">
        <v>1720</v>
      </c>
      <c r="E860" s="180">
        <v>52144</v>
      </c>
      <c r="F860" s="192">
        <v>0</v>
      </c>
    </row>
    <row r="861" spans="1:6" ht="12">
      <c r="A861" s="190">
        <v>240314</v>
      </c>
      <c r="B861" s="171" t="s">
        <v>991</v>
      </c>
      <c r="C861" s="200" t="s">
        <v>1721</v>
      </c>
      <c r="D861" s="178" t="s">
        <v>1722</v>
      </c>
      <c r="E861" s="180">
        <v>38341</v>
      </c>
      <c r="F861" s="192">
        <v>0</v>
      </c>
    </row>
    <row r="862" spans="1:6" ht="12">
      <c r="A862" s="190">
        <v>240314</v>
      </c>
      <c r="B862" s="171" t="s">
        <v>991</v>
      </c>
      <c r="C862" s="200" t="s">
        <v>1723</v>
      </c>
      <c r="D862" s="178" t="s">
        <v>1724</v>
      </c>
      <c r="E862" s="180">
        <v>38805</v>
      </c>
      <c r="F862" s="192">
        <v>0</v>
      </c>
    </row>
    <row r="863" spans="1:6" ht="12">
      <c r="A863" s="190">
        <v>240314</v>
      </c>
      <c r="B863" s="171" t="s">
        <v>991</v>
      </c>
      <c r="C863" s="174" t="s">
        <v>1725</v>
      </c>
      <c r="D863" s="178" t="s">
        <v>1726</v>
      </c>
      <c r="E863" s="180">
        <v>17694</v>
      </c>
      <c r="F863" s="192">
        <v>0</v>
      </c>
    </row>
    <row r="864" spans="1:6" ht="12">
      <c r="A864" s="190">
        <v>240314</v>
      </c>
      <c r="B864" s="171" t="s">
        <v>991</v>
      </c>
      <c r="C864" s="200" t="s">
        <v>1727</v>
      </c>
      <c r="D864" s="178" t="s">
        <v>1728</v>
      </c>
      <c r="E864" s="180">
        <v>6757</v>
      </c>
      <c r="F864" s="192">
        <v>0</v>
      </c>
    </row>
    <row r="865" spans="1:6" ht="12">
      <c r="A865" s="190">
        <v>240314</v>
      </c>
      <c r="B865" s="171" t="s">
        <v>991</v>
      </c>
      <c r="C865" s="174" t="s">
        <v>1729</v>
      </c>
      <c r="D865" s="178" t="s">
        <v>1730</v>
      </c>
      <c r="E865" s="180">
        <v>22617</v>
      </c>
      <c r="F865" s="192">
        <v>0</v>
      </c>
    </row>
    <row r="866" spans="1:6" ht="12">
      <c r="A866" s="190">
        <v>240314</v>
      </c>
      <c r="B866" s="171" t="s">
        <v>991</v>
      </c>
      <c r="C866" s="200" t="s">
        <v>1731</v>
      </c>
      <c r="D866" s="178" t="s">
        <v>1732</v>
      </c>
      <c r="E866" s="180">
        <v>44016</v>
      </c>
      <c r="F866" s="192">
        <v>0</v>
      </c>
    </row>
    <row r="867" spans="1:6" ht="12">
      <c r="A867" s="190">
        <v>240314</v>
      </c>
      <c r="B867" s="171" t="s">
        <v>991</v>
      </c>
      <c r="C867" s="200" t="s">
        <v>1733</v>
      </c>
      <c r="D867" s="178" t="s">
        <v>1734</v>
      </c>
      <c r="E867" s="180">
        <v>14518</v>
      </c>
      <c r="F867" s="192">
        <v>0</v>
      </c>
    </row>
    <row r="868" spans="1:6" ht="12">
      <c r="A868" s="190">
        <v>240314</v>
      </c>
      <c r="B868" s="171" t="s">
        <v>991</v>
      </c>
      <c r="C868" s="200" t="s">
        <v>1735</v>
      </c>
      <c r="D868" s="178" t="s">
        <v>1736</v>
      </c>
      <c r="E868" s="180">
        <v>24743</v>
      </c>
      <c r="F868" s="192">
        <v>0</v>
      </c>
    </row>
    <row r="869" spans="1:6" ht="12">
      <c r="A869" s="190">
        <v>240314</v>
      </c>
      <c r="B869" s="171" t="s">
        <v>991</v>
      </c>
      <c r="C869" s="174" t="s">
        <v>1737</v>
      </c>
      <c r="D869" s="178" t="s">
        <v>1738</v>
      </c>
      <c r="E869" s="180">
        <v>29661</v>
      </c>
      <c r="F869" s="192">
        <v>0</v>
      </c>
    </row>
    <row r="870" spans="1:6" ht="12">
      <c r="A870" s="190">
        <v>240314</v>
      </c>
      <c r="B870" s="171" t="s">
        <v>991</v>
      </c>
      <c r="C870" s="200" t="s">
        <v>1739</v>
      </c>
      <c r="D870" s="178" t="s">
        <v>1740</v>
      </c>
      <c r="E870" s="180">
        <v>34526</v>
      </c>
      <c r="F870" s="192">
        <v>0</v>
      </c>
    </row>
    <row r="871" spans="1:6" ht="12">
      <c r="A871" s="190">
        <v>240314</v>
      </c>
      <c r="B871" s="171" t="s">
        <v>991</v>
      </c>
      <c r="C871" s="200" t="s">
        <v>1741</v>
      </c>
      <c r="D871" s="178" t="s">
        <v>1742</v>
      </c>
      <c r="E871" s="180">
        <v>25387</v>
      </c>
      <c r="F871" s="192">
        <v>0</v>
      </c>
    </row>
    <row r="872" spans="1:6" ht="12">
      <c r="A872" s="190">
        <v>240314</v>
      </c>
      <c r="B872" s="171" t="s">
        <v>991</v>
      </c>
      <c r="C872" s="200" t="s">
        <v>1743</v>
      </c>
      <c r="D872" s="178" t="s">
        <v>1744</v>
      </c>
      <c r="E872" s="180">
        <v>37194</v>
      </c>
      <c r="F872" s="192">
        <v>0</v>
      </c>
    </row>
    <row r="873" spans="1:6" ht="12">
      <c r="A873" s="190">
        <v>240314</v>
      </c>
      <c r="B873" s="171" t="s">
        <v>991</v>
      </c>
      <c r="C873" s="200" t="s">
        <v>1745</v>
      </c>
      <c r="D873" s="178" t="s">
        <v>1746</v>
      </c>
      <c r="E873" s="180">
        <v>26473</v>
      </c>
      <c r="F873" s="192">
        <v>0</v>
      </c>
    </row>
    <row r="874" spans="1:6" ht="12">
      <c r="A874" s="190">
        <v>240314</v>
      </c>
      <c r="B874" s="171" t="s">
        <v>991</v>
      </c>
      <c r="C874" s="200" t="s">
        <v>1747</v>
      </c>
      <c r="D874" s="178" t="s">
        <v>1748</v>
      </c>
      <c r="E874" s="180">
        <v>20264</v>
      </c>
      <c r="F874" s="192">
        <v>0</v>
      </c>
    </row>
    <row r="875" spans="1:6" ht="12">
      <c r="A875" s="190">
        <v>240314</v>
      </c>
      <c r="B875" s="171" t="s">
        <v>991</v>
      </c>
      <c r="C875" s="200" t="s">
        <v>1749</v>
      </c>
      <c r="D875" s="178" t="s">
        <v>1750</v>
      </c>
      <c r="E875" s="180">
        <v>25407</v>
      </c>
      <c r="F875" s="192">
        <v>0</v>
      </c>
    </row>
    <row r="876" spans="1:6" ht="12">
      <c r="A876" s="190">
        <v>240314</v>
      </c>
      <c r="B876" s="171" t="s">
        <v>991</v>
      </c>
      <c r="C876" s="174" t="s">
        <v>1751</v>
      </c>
      <c r="D876" s="178" t="s">
        <v>1752</v>
      </c>
      <c r="E876" s="180">
        <v>29651</v>
      </c>
      <c r="F876" s="192">
        <v>0</v>
      </c>
    </row>
    <row r="877" spans="1:6" ht="12">
      <c r="A877" s="190">
        <v>240314</v>
      </c>
      <c r="B877" s="171" t="s">
        <v>991</v>
      </c>
      <c r="C877" s="200" t="s">
        <v>1753</v>
      </c>
      <c r="D877" s="178" t="s">
        <v>1754</v>
      </c>
      <c r="E877" s="180">
        <v>74383</v>
      </c>
      <c r="F877" s="192">
        <v>0</v>
      </c>
    </row>
    <row r="878" spans="1:6" ht="12">
      <c r="A878" s="190">
        <v>240314</v>
      </c>
      <c r="B878" s="171" t="s">
        <v>991</v>
      </c>
      <c r="C878" s="174" t="s">
        <v>1755</v>
      </c>
      <c r="D878" s="178" t="s">
        <v>1448</v>
      </c>
      <c r="E878" s="180">
        <v>33012</v>
      </c>
      <c r="F878" s="192">
        <v>0</v>
      </c>
    </row>
    <row r="879" spans="1:6" ht="12">
      <c r="A879" s="190">
        <v>240314</v>
      </c>
      <c r="B879" s="171" t="s">
        <v>991</v>
      </c>
      <c r="C879" s="200">
        <v>219023090</v>
      </c>
      <c r="D879" s="178" t="s">
        <v>1756</v>
      </c>
      <c r="E879" s="180">
        <v>36615</v>
      </c>
      <c r="F879" s="192">
        <v>0</v>
      </c>
    </row>
    <row r="880" spans="1:6" ht="12">
      <c r="A880" s="190">
        <v>240314</v>
      </c>
      <c r="B880" s="171" t="s">
        <v>991</v>
      </c>
      <c r="C880" s="200" t="s">
        <v>1757</v>
      </c>
      <c r="D880" s="178" t="s">
        <v>1758</v>
      </c>
      <c r="E880" s="180">
        <v>105976</v>
      </c>
      <c r="F880" s="192">
        <v>0</v>
      </c>
    </row>
    <row r="881" spans="1:6" ht="12">
      <c r="A881" s="190">
        <v>240314</v>
      </c>
      <c r="B881" s="171" t="s">
        <v>991</v>
      </c>
      <c r="C881" s="200" t="s">
        <v>1759</v>
      </c>
      <c r="D881" s="178" t="s">
        <v>1760</v>
      </c>
      <c r="E881" s="180">
        <v>19647</v>
      </c>
      <c r="F881" s="192">
        <v>0</v>
      </c>
    </row>
    <row r="882" spans="1:6" ht="12">
      <c r="A882" s="190">
        <v>240314</v>
      </c>
      <c r="B882" s="171" t="s">
        <v>991</v>
      </c>
      <c r="C882" s="200" t="s">
        <v>1761</v>
      </c>
      <c r="D882" s="178" t="s">
        <v>1762</v>
      </c>
      <c r="E882" s="180">
        <v>67159</v>
      </c>
      <c r="F882" s="192">
        <v>0</v>
      </c>
    </row>
    <row r="883" spans="1:6" ht="12">
      <c r="A883" s="190">
        <v>240314</v>
      </c>
      <c r="B883" s="171" t="s">
        <v>991</v>
      </c>
      <c r="C883" s="200">
        <v>218923189</v>
      </c>
      <c r="D883" s="178" t="s">
        <v>1763</v>
      </c>
      <c r="E883" s="180">
        <v>79159</v>
      </c>
      <c r="F883" s="192">
        <v>0</v>
      </c>
    </row>
    <row r="884" spans="1:6" ht="12">
      <c r="A884" s="190">
        <v>240314</v>
      </c>
      <c r="B884" s="171" t="s">
        <v>991</v>
      </c>
      <c r="C884" s="200" t="s">
        <v>1764</v>
      </c>
      <c r="D884" s="178" t="s">
        <v>1765</v>
      </c>
      <c r="E884" s="180">
        <v>26163</v>
      </c>
      <c r="F884" s="192">
        <v>0</v>
      </c>
    </row>
    <row r="885" spans="1:6" ht="12">
      <c r="A885" s="190">
        <v>240314</v>
      </c>
      <c r="B885" s="171" t="s">
        <v>991</v>
      </c>
      <c r="C885" s="200" t="s">
        <v>1766</v>
      </c>
      <c r="D885" s="178" t="s">
        <v>1767</v>
      </c>
      <c r="E885" s="180">
        <v>20864</v>
      </c>
      <c r="F885" s="192">
        <v>0</v>
      </c>
    </row>
    <row r="886" spans="1:6" ht="12">
      <c r="A886" s="190">
        <v>240314</v>
      </c>
      <c r="B886" s="171" t="s">
        <v>991</v>
      </c>
      <c r="C886" s="200" t="s">
        <v>1768</v>
      </c>
      <c r="D886" s="178" t="s">
        <v>1769</v>
      </c>
      <c r="E886" s="180">
        <v>32084</v>
      </c>
      <c r="F886" s="192">
        <v>0</v>
      </c>
    </row>
    <row r="887" spans="1:6" ht="12">
      <c r="A887" s="190">
        <v>240314</v>
      </c>
      <c r="B887" s="171" t="s">
        <v>991</v>
      </c>
      <c r="C887" s="200" t="s">
        <v>1770</v>
      </c>
      <c r="D887" s="178" t="s">
        <v>1771</v>
      </c>
      <c r="E887" s="180">
        <v>25289</v>
      </c>
      <c r="F887" s="192">
        <v>0</v>
      </c>
    </row>
    <row r="888" spans="1:6" ht="12">
      <c r="A888" s="190">
        <v>240314</v>
      </c>
      <c r="B888" s="171" t="s">
        <v>991</v>
      </c>
      <c r="C888" s="200" t="s">
        <v>1772</v>
      </c>
      <c r="D888" s="178" t="s">
        <v>1773</v>
      </c>
      <c r="E888" s="180">
        <v>107788</v>
      </c>
      <c r="F888" s="192">
        <v>0</v>
      </c>
    </row>
    <row r="889" spans="1:6" ht="12">
      <c r="A889" s="190">
        <v>240314</v>
      </c>
      <c r="B889" s="171" t="s">
        <v>991</v>
      </c>
      <c r="C889" s="200" t="s">
        <v>1774</v>
      </c>
      <c r="D889" s="178" t="s">
        <v>1775</v>
      </c>
      <c r="E889" s="180">
        <v>57265</v>
      </c>
      <c r="F889" s="192">
        <v>0</v>
      </c>
    </row>
    <row r="890" spans="1:6" ht="12">
      <c r="A890" s="190">
        <v>240314</v>
      </c>
      <c r="B890" s="171" t="s">
        <v>991</v>
      </c>
      <c r="C890" s="200" t="s">
        <v>1776</v>
      </c>
      <c r="D890" s="178" t="s">
        <v>1777</v>
      </c>
      <c r="E890" s="180">
        <v>94767</v>
      </c>
      <c r="F890" s="192">
        <v>0</v>
      </c>
    </row>
    <row r="891" spans="1:6" ht="12">
      <c r="A891" s="190">
        <v>240314</v>
      </c>
      <c r="B891" s="171" t="s">
        <v>991</v>
      </c>
      <c r="C891" s="200">
        <v>217023570</v>
      </c>
      <c r="D891" s="178" t="s">
        <v>1778</v>
      </c>
      <c r="E891" s="180">
        <v>50471</v>
      </c>
      <c r="F891" s="192">
        <v>0</v>
      </c>
    </row>
    <row r="892" spans="1:6" ht="12">
      <c r="A892" s="190">
        <v>240314</v>
      </c>
      <c r="B892" s="171" t="s">
        <v>991</v>
      </c>
      <c r="C892" s="200">
        <v>217423574</v>
      </c>
      <c r="D892" s="178" t="s">
        <v>1779</v>
      </c>
      <c r="E892" s="180">
        <v>42914</v>
      </c>
      <c r="F892" s="192">
        <v>0</v>
      </c>
    </row>
    <row r="893" spans="1:6" ht="12">
      <c r="A893" s="190">
        <v>240314</v>
      </c>
      <c r="B893" s="171" t="s">
        <v>991</v>
      </c>
      <c r="C893" s="200">
        <v>218023580</v>
      </c>
      <c r="D893" s="178" t="s">
        <v>1780</v>
      </c>
      <c r="E893" s="180">
        <v>63133</v>
      </c>
      <c r="F893" s="192">
        <v>0</v>
      </c>
    </row>
    <row r="894" spans="1:6" ht="12">
      <c r="A894" s="190">
        <v>240314</v>
      </c>
      <c r="B894" s="171" t="s">
        <v>991</v>
      </c>
      <c r="C894" s="200">
        <v>218623586</v>
      </c>
      <c r="D894" s="178" t="s">
        <v>1781</v>
      </c>
      <c r="E894" s="180">
        <v>28070</v>
      </c>
      <c r="F894" s="192">
        <v>0</v>
      </c>
    </row>
    <row r="895" spans="1:6" ht="12">
      <c r="A895" s="190">
        <v>240314</v>
      </c>
      <c r="B895" s="171" t="s">
        <v>991</v>
      </c>
      <c r="C895" s="200" t="s">
        <v>1782</v>
      </c>
      <c r="D895" s="178" t="s">
        <v>1783</v>
      </c>
      <c r="E895" s="180">
        <v>120773</v>
      </c>
      <c r="F895" s="192">
        <v>0</v>
      </c>
    </row>
    <row r="896" spans="1:6" ht="12">
      <c r="A896" s="190">
        <v>240314</v>
      </c>
      <c r="B896" s="171" t="s">
        <v>991</v>
      </c>
      <c r="C896" s="200" t="s">
        <v>1784</v>
      </c>
      <c r="D896" s="178" t="s">
        <v>1785</v>
      </c>
      <c r="E896" s="180">
        <v>60971</v>
      </c>
      <c r="F896" s="192">
        <v>0</v>
      </c>
    </row>
    <row r="897" spans="1:6" ht="12">
      <c r="A897" s="190">
        <v>240314</v>
      </c>
      <c r="B897" s="171" t="s">
        <v>991</v>
      </c>
      <c r="C897" s="200" t="s">
        <v>1786</v>
      </c>
      <c r="D897" s="178" t="s">
        <v>1787</v>
      </c>
      <c r="E897" s="180">
        <v>57528</v>
      </c>
      <c r="F897" s="192">
        <v>0</v>
      </c>
    </row>
    <row r="898" spans="1:6" ht="12">
      <c r="A898" s="190">
        <v>240314</v>
      </c>
      <c r="B898" s="171" t="s">
        <v>991</v>
      </c>
      <c r="C898" s="200" t="s">
        <v>1788</v>
      </c>
      <c r="D898" s="178" t="s">
        <v>1247</v>
      </c>
      <c r="E898" s="180">
        <v>42688</v>
      </c>
      <c r="F898" s="192">
        <v>0</v>
      </c>
    </row>
    <row r="899" spans="1:6" ht="12">
      <c r="A899" s="190">
        <v>240314</v>
      </c>
      <c r="B899" s="171" t="s">
        <v>991</v>
      </c>
      <c r="C899" s="200" t="s">
        <v>1789</v>
      </c>
      <c r="D899" s="178" t="s">
        <v>1790</v>
      </c>
      <c r="E899" s="180">
        <v>65039</v>
      </c>
      <c r="F899" s="192">
        <v>0</v>
      </c>
    </row>
    <row r="900" spans="1:6" ht="12">
      <c r="A900" s="190">
        <v>240314</v>
      </c>
      <c r="B900" s="171" t="s">
        <v>991</v>
      </c>
      <c r="C900" s="200" t="s">
        <v>1791</v>
      </c>
      <c r="D900" s="178" t="s">
        <v>1792</v>
      </c>
      <c r="E900" s="180">
        <v>144713</v>
      </c>
      <c r="F900" s="192">
        <v>0</v>
      </c>
    </row>
    <row r="901" spans="1:6" ht="12">
      <c r="A901" s="190">
        <v>240314</v>
      </c>
      <c r="B901" s="171" t="s">
        <v>991</v>
      </c>
      <c r="C901" s="200" t="s">
        <v>1793</v>
      </c>
      <c r="D901" s="178" t="s">
        <v>1794</v>
      </c>
      <c r="E901" s="180">
        <v>66097</v>
      </c>
      <c r="F901" s="192">
        <v>0</v>
      </c>
    </row>
    <row r="902" spans="1:6" ht="12">
      <c r="A902" s="190">
        <v>240314</v>
      </c>
      <c r="B902" s="171" t="s">
        <v>991</v>
      </c>
      <c r="C902" s="200" t="s">
        <v>1795</v>
      </c>
      <c r="D902" s="178" t="s">
        <v>1796</v>
      </c>
      <c r="E902" s="180">
        <v>13119</v>
      </c>
      <c r="F902" s="192">
        <v>0</v>
      </c>
    </row>
    <row r="903" spans="1:6" ht="12">
      <c r="A903" s="190">
        <v>240314</v>
      </c>
      <c r="B903" s="171" t="s">
        <v>991</v>
      </c>
      <c r="C903" s="200" t="s">
        <v>1797</v>
      </c>
      <c r="D903" s="178" t="s">
        <v>1798</v>
      </c>
      <c r="E903" s="180">
        <v>8391</v>
      </c>
      <c r="F903" s="192">
        <v>0</v>
      </c>
    </row>
    <row r="904" spans="1:6" ht="12">
      <c r="A904" s="190">
        <v>240314</v>
      </c>
      <c r="B904" s="171" t="s">
        <v>991</v>
      </c>
      <c r="C904" s="200" t="s">
        <v>1799</v>
      </c>
      <c r="D904" s="178" t="s">
        <v>1800</v>
      </c>
      <c r="E904" s="180">
        <v>11667</v>
      </c>
      <c r="F904" s="192">
        <v>0</v>
      </c>
    </row>
    <row r="905" spans="1:6" ht="12">
      <c r="A905" s="190">
        <v>240314</v>
      </c>
      <c r="B905" s="171" t="s">
        <v>991</v>
      </c>
      <c r="C905" s="200" t="s">
        <v>1801</v>
      </c>
      <c r="D905" s="178" t="s">
        <v>1802</v>
      </c>
      <c r="E905" s="180">
        <v>19150</v>
      </c>
      <c r="F905" s="192">
        <v>0</v>
      </c>
    </row>
    <row r="906" spans="1:6" ht="12">
      <c r="A906" s="190">
        <v>240314</v>
      </c>
      <c r="B906" s="171" t="s">
        <v>991</v>
      </c>
      <c r="C906" s="200" t="s">
        <v>1803</v>
      </c>
      <c r="D906" s="178" t="s">
        <v>1804</v>
      </c>
      <c r="E906" s="180">
        <v>14856</v>
      </c>
      <c r="F906" s="192">
        <v>0</v>
      </c>
    </row>
    <row r="907" spans="1:6" ht="12">
      <c r="A907" s="190">
        <v>240314</v>
      </c>
      <c r="B907" s="171" t="s">
        <v>991</v>
      </c>
      <c r="C907" s="200" t="s">
        <v>1805</v>
      </c>
      <c r="D907" s="178" t="s">
        <v>1806</v>
      </c>
      <c r="E907" s="180">
        <v>3265</v>
      </c>
      <c r="F907" s="192">
        <v>0</v>
      </c>
    </row>
    <row r="908" spans="1:6" ht="12">
      <c r="A908" s="190">
        <v>240314</v>
      </c>
      <c r="B908" s="171" t="s">
        <v>991</v>
      </c>
      <c r="C908" s="200" t="s">
        <v>1807</v>
      </c>
      <c r="D908" s="178" t="s">
        <v>1808</v>
      </c>
      <c r="E908" s="180">
        <v>3124</v>
      </c>
      <c r="F908" s="192">
        <v>0</v>
      </c>
    </row>
    <row r="909" spans="1:6" ht="12">
      <c r="A909" s="190">
        <v>240314</v>
      </c>
      <c r="B909" s="171" t="s">
        <v>991</v>
      </c>
      <c r="C909" s="200" t="s">
        <v>1809</v>
      </c>
      <c r="D909" s="178" t="s">
        <v>1810</v>
      </c>
      <c r="E909" s="180">
        <v>9148</v>
      </c>
      <c r="F909" s="192">
        <v>0</v>
      </c>
    </row>
    <row r="910" spans="1:6" ht="12">
      <c r="A910" s="190">
        <v>240314</v>
      </c>
      <c r="B910" s="171" t="s">
        <v>991</v>
      </c>
      <c r="C910" s="200" t="s">
        <v>1811</v>
      </c>
      <c r="D910" s="178" t="s">
        <v>1812</v>
      </c>
      <c r="E910" s="180">
        <v>6313</v>
      </c>
      <c r="F910" s="192">
        <v>0</v>
      </c>
    </row>
    <row r="911" spans="1:6" ht="12">
      <c r="A911" s="190">
        <v>240314</v>
      </c>
      <c r="B911" s="171" t="s">
        <v>991</v>
      </c>
      <c r="C911" s="200" t="s">
        <v>1813</v>
      </c>
      <c r="D911" s="178" t="s">
        <v>1814</v>
      </c>
      <c r="E911" s="180">
        <v>8190</v>
      </c>
      <c r="F911" s="192">
        <v>0</v>
      </c>
    </row>
    <row r="912" spans="1:6" ht="12">
      <c r="A912" s="190">
        <v>240314</v>
      </c>
      <c r="B912" s="171" t="s">
        <v>991</v>
      </c>
      <c r="C912" s="200" t="s">
        <v>1815</v>
      </c>
      <c r="D912" s="178" t="s">
        <v>1816</v>
      </c>
      <c r="E912" s="180">
        <v>46073</v>
      </c>
      <c r="F912" s="192">
        <v>0</v>
      </c>
    </row>
    <row r="913" spans="1:6" ht="12">
      <c r="A913" s="190">
        <v>240314</v>
      </c>
      <c r="B913" s="171" t="s">
        <v>991</v>
      </c>
      <c r="C913" s="200" t="s">
        <v>1817</v>
      </c>
      <c r="D913" s="178" t="s">
        <v>1818</v>
      </c>
      <c r="E913" s="180">
        <v>17792</v>
      </c>
      <c r="F913" s="192">
        <v>0</v>
      </c>
    </row>
    <row r="914" spans="1:6" ht="12">
      <c r="A914" s="190">
        <v>240314</v>
      </c>
      <c r="B914" s="171" t="s">
        <v>991</v>
      </c>
      <c r="C914" s="200" t="s">
        <v>1819</v>
      </c>
      <c r="D914" s="178" t="s">
        <v>1820</v>
      </c>
      <c r="E914" s="180">
        <v>19947</v>
      </c>
      <c r="F914" s="192">
        <v>0</v>
      </c>
    </row>
    <row r="915" spans="1:6" ht="12">
      <c r="A915" s="190">
        <v>240314</v>
      </c>
      <c r="B915" s="171" t="s">
        <v>991</v>
      </c>
      <c r="C915" s="200" t="s">
        <v>1821</v>
      </c>
      <c r="D915" s="178" t="s">
        <v>1822</v>
      </c>
      <c r="E915" s="180">
        <v>7918</v>
      </c>
      <c r="F915" s="192">
        <v>0</v>
      </c>
    </row>
    <row r="916" spans="1:6" ht="12">
      <c r="A916" s="190">
        <v>240314</v>
      </c>
      <c r="B916" s="171" t="s">
        <v>991</v>
      </c>
      <c r="C916" s="200" t="s">
        <v>1823</v>
      </c>
      <c r="D916" s="178" t="s">
        <v>1824</v>
      </c>
      <c r="E916" s="180">
        <v>4552</v>
      </c>
      <c r="F916" s="192">
        <v>0</v>
      </c>
    </row>
    <row r="917" spans="1:6" ht="12">
      <c r="A917" s="190">
        <v>240314</v>
      </c>
      <c r="B917" s="171" t="s">
        <v>991</v>
      </c>
      <c r="C917" s="200" t="s">
        <v>1825</v>
      </c>
      <c r="D917" s="178" t="s">
        <v>1826</v>
      </c>
      <c r="E917" s="180">
        <v>76169</v>
      </c>
      <c r="F917" s="192">
        <v>0</v>
      </c>
    </row>
    <row r="918" spans="1:6" ht="12">
      <c r="A918" s="190">
        <v>240314</v>
      </c>
      <c r="B918" s="171" t="s">
        <v>991</v>
      </c>
      <c r="C918" s="200" t="s">
        <v>1827</v>
      </c>
      <c r="D918" s="178" t="s">
        <v>1828</v>
      </c>
      <c r="E918" s="180">
        <v>9674</v>
      </c>
      <c r="F918" s="192">
        <v>0</v>
      </c>
    </row>
    <row r="919" spans="1:6" ht="12">
      <c r="A919" s="190">
        <v>240314</v>
      </c>
      <c r="B919" s="171" t="s">
        <v>991</v>
      </c>
      <c r="C919" s="200" t="s">
        <v>1829</v>
      </c>
      <c r="D919" s="178" t="s">
        <v>1830</v>
      </c>
      <c r="E919" s="180">
        <v>14018</v>
      </c>
      <c r="F919" s="192">
        <v>0</v>
      </c>
    </row>
    <row r="920" spans="1:6" ht="12">
      <c r="A920" s="190">
        <v>240314</v>
      </c>
      <c r="B920" s="171" t="s">
        <v>991</v>
      </c>
      <c r="C920" s="200" t="s">
        <v>1831</v>
      </c>
      <c r="D920" s="178" t="s">
        <v>1832</v>
      </c>
      <c r="E920" s="180">
        <v>23484</v>
      </c>
      <c r="F920" s="192">
        <v>0</v>
      </c>
    </row>
    <row r="921" spans="1:6" ht="12">
      <c r="A921" s="190">
        <v>240314</v>
      </c>
      <c r="B921" s="171" t="s">
        <v>991</v>
      </c>
      <c r="C921" s="200" t="s">
        <v>1833</v>
      </c>
      <c r="D921" s="178" t="s">
        <v>1834</v>
      </c>
      <c r="E921" s="180">
        <v>18251</v>
      </c>
      <c r="F921" s="192">
        <v>0</v>
      </c>
    </row>
    <row r="922" spans="1:6" ht="12">
      <c r="A922" s="190">
        <v>240314</v>
      </c>
      <c r="B922" s="171" t="s">
        <v>991</v>
      </c>
      <c r="C922" s="200" t="s">
        <v>1835</v>
      </c>
      <c r="D922" s="178" t="s">
        <v>1836</v>
      </c>
      <c r="E922" s="180">
        <v>16540</v>
      </c>
      <c r="F922" s="192">
        <v>0</v>
      </c>
    </row>
    <row r="923" spans="1:6" ht="12">
      <c r="A923" s="190">
        <v>240314</v>
      </c>
      <c r="B923" s="171" t="s">
        <v>991</v>
      </c>
      <c r="C923" s="200" t="s">
        <v>1837</v>
      </c>
      <c r="D923" s="178" t="s">
        <v>1838</v>
      </c>
      <c r="E923" s="180">
        <v>8250</v>
      </c>
      <c r="F923" s="192">
        <v>0</v>
      </c>
    </row>
    <row r="924" spans="1:6" ht="12">
      <c r="A924" s="190">
        <v>240314</v>
      </c>
      <c r="B924" s="171" t="s">
        <v>991</v>
      </c>
      <c r="C924" s="200" t="s">
        <v>1839</v>
      </c>
      <c r="D924" s="178" t="s">
        <v>1840</v>
      </c>
      <c r="E924" s="180">
        <v>26946</v>
      </c>
      <c r="F924" s="192">
        <v>0</v>
      </c>
    </row>
    <row r="925" spans="1:6" ht="12">
      <c r="A925" s="190">
        <v>240314</v>
      </c>
      <c r="B925" s="171" t="s">
        <v>991</v>
      </c>
      <c r="C925" s="200">
        <v>215825258</v>
      </c>
      <c r="D925" s="178" t="s">
        <v>1379</v>
      </c>
      <c r="E925" s="180">
        <v>7363</v>
      </c>
      <c r="F925" s="192">
        <v>0</v>
      </c>
    </row>
    <row r="926" spans="1:6" ht="12">
      <c r="A926" s="190">
        <v>240314</v>
      </c>
      <c r="B926" s="171" t="s">
        <v>991</v>
      </c>
      <c r="C926" s="200" t="s">
        <v>1841</v>
      </c>
      <c r="D926" s="178" t="s">
        <v>1842</v>
      </c>
      <c r="E926" s="180">
        <v>12544</v>
      </c>
      <c r="F926" s="192">
        <v>0</v>
      </c>
    </row>
    <row r="927" spans="1:6" ht="12">
      <c r="A927" s="190">
        <v>240314</v>
      </c>
      <c r="B927" s="171" t="s">
        <v>991</v>
      </c>
      <c r="C927" s="200" t="s">
        <v>1843</v>
      </c>
      <c r="D927" s="178" t="s">
        <v>1844</v>
      </c>
      <c r="E927" s="180">
        <v>107726</v>
      </c>
      <c r="F927" s="192">
        <v>0</v>
      </c>
    </row>
    <row r="928" spans="1:6" ht="12">
      <c r="A928" s="190">
        <v>240314</v>
      </c>
      <c r="B928" s="171" t="s">
        <v>991</v>
      </c>
      <c r="C928" s="200" t="s">
        <v>1845</v>
      </c>
      <c r="D928" s="178" t="s">
        <v>1846</v>
      </c>
      <c r="E928" s="180">
        <v>12459</v>
      </c>
      <c r="F928" s="192">
        <v>0</v>
      </c>
    </row>
    <row r="929" spans="1:6" ht="12">
      <c r="A929" s="190">
        <v>240314</v>
      </c>
      <c r="B929" s="171" t="s">
        <v>991</v>
      </c>
      <c r="C929" s="200">
        <v>218125281</v>
      </c>
      <c r="D929" s="178" t="s">
        <v>1847</v>
      </c>
      <c r="E929" s="180">
        <v>7348</v>
      </c>
      <c r="F929" s="192">
        <v>0</v>
      </c>
    </row>
    <row r="930" spans="1:6" ht="12">
      <c r="A930" s="190">
        <v>240314</v>
      </c>
      <c r="B930" s="171" t="s">
        <v>991</v>
      </c>
      <c r="C930" s="200" t="s">
        <v>1848</v>
      </c>
      <c r="D930" s="178" t="s">
        <v>1849</v>
      </c>
      <c r="E930" s="180">
        <v>47416</v>
      </c>
      <c r="F930" s="192">
        <v>0</v>
      </c>
    </row>
    <row r="931" spans="1:6" ht="12">
      <c r="A931" s="190">
        <v>240314</v>
      </c>
      <c r="B931" s="171" t="s">
        <v>991</v>
      </c>
      <c r="C931" s="200" t="s">
        <v>1850</v>
      </c>
      <c r="D931" s="178" t="s">
        <v>1851</v>
      </c>
      <c r="E931" s="180">
        <v>7513</v>
      </c>
      <c r="F931" s="192">
        <v>0</v>
      </c>
    </row>
    <row r="932" spans="1:6" ht="12">
      <c r="A932" s="190">
        <v>240314</v>
      </c>
      <c r="B932" s="171" t="s">
        <v>991</v>
      </c>
      <c r="C932" s="200" t="s">
        <v>1852</v>
      </c>
      <c r="D932" s="178" t="s">
        <v>1853</v>
      </c>
      <c r="E932" s="180">
        <v>7630</v>
      </c>
      <c r="F932" s="192">
        <v>0</v>
      </c>
    </row>
    <row r="933" spans="1:6" ht="12">
      <c r="A933" s="190">
        <v>240314</v>
      </c>
      <c r="B933" s="171" t="s">
        <v>991</v>
      </c>
      <c r="C933" s="200">
        <v>219525295</v>
      </c>
      <c r="D933" s="178" t="s">
        <v>1854</v>
      </c>
      <c r="E933" s="180">
        <v>11429</v>
      </c>
      <c r="F933" s="192">
        <v>0</v>
      </c>
    </row>
    <row r="934" spans="1:6" ht="12">
      <c r="A934" s="190">
        <v>240314</v>
      </c>
      <c r="B934" s="171" t="s">
        <v>991</v>
      </c>
      <c r="C934" s="200" t="s">
        <v>1855</v>
      </c>
      <c r="D934" s="178" t="s">
        <v>1856</v>
      </c>
      <c r="E934" s="180">
        <v>13620</v>
      </c>
      <c r="F934" s="192">
        <v>0</v>
      </c>
    </row>
    <row r="935" spans="1:6" ht="12">
      <c r="A935" s="190">
        <v>240314</v>
      </c>
      <c r="B935" s="171" t="s">
        <v>991</v>
      </c>
      <c r="C935" s="200" t="s">
        <v>1857</v>
      </c>
      <c r="D935" s="178" t="s">
        <v>1858</v>
      </c>
      <c r="E935" s="180">
        <v>3870</v>
      </c>
      <c r="F935" s="192">
        <v>0</v>
      </c>
    </row>
    <row r="936" spans="1:6" ht="12">
      <c r="A936" s="190">
        <v>240314</v>
      </c>
      <c r="B936" s="171" t="s">
        <v>991</v>
      </c>
      <c r="C936" s="200" t="s">
        <v>1859</v>
      </c>
      <c r="D936" s="178" t="s">
        <v>1179</v>
      </c>
      <c r="E936" s="180">
        <v>7958</v>
      </c>
      <c r="F936" s="192">
        <v>0</v>
      </c>
    </row>
    <row r="937" spans="1:6" ht="12">
      <c r="A937" s="190">
        <v>240314</v>
      </c>
      <c r="B937" s="171" t="s">
        <v>991</v>
      </c>
      <c r="C937" s="200" t="s">
        <v>1860</v>
      </c>
      <c r="D937" s="178" t="s">
        <v>1861</v>
      </c>
      <c r="E937" s="180">
        <v>14563</v>
      </c>
      <c r="F937" s="192">
        <v>0</v>
      </c>
    </row>
    <row r="938" spans="1:6" ht="12">
      <c r="A938" s="190">
        <v>240314</v>
      </c>
      <c r="B938" s="171" t="s">
        <v>991</v>
      </c>
      <c r="C938" s="200" t="s">
        <v>1862</v>
      </c>
      <c r="D938" s="178" t="s">
        <v>1863</v>
      </c>
      <c r="E938" s="180">
        <v>29075</v>
      </c>
      <c r="F938" s="192">
        <v>0</v>
      </c>
    </row>
    <row r="939" spans="1:6" ht="12">
      <c r="A939" s="190">
        <v>240314</v>
      </c>
      <c r="B939" s="171" t="s">
        <v>991</v>
      </c>
      <c r="C939" s="200" t="s">
        <v>1864</v>
      </c>
      <c r="D939" s="178" t="s">
        <v>1865</v>
      </c>
      <c r="E939" s="180">
        <v>19553</v>
      </c>
      <c r="F939" s="192">
        <v>0</v>
      </c>
    </row>
    <row r="940" spans="1:6" ht="12">
      <c r="A940" s="190">
        <v>240314</v>
      </c>
      <c r="B940" s="171" t="s">
        <v>991</v>
      </c>
      <c r="C940" s="200" t="s">
        <v>1866</v>
      </c>
      <c r="D940" s="178" t="s">
        <v>1867</v>
      </c>
      <c r="E940" s="180">
        <v>4214</v>
      </c>
      <c r="F940" s="192">
        <v>0</v>
      </c>
    </row>
    <row r="941" spans="1:6" ht="12">
      <c r="A941" s="190">
        <v>240314</v>
      </c>
      <c r="B941" s="171" t="s">
        <v>991</v>
      </c>
      <c r="C941" s="200" t="s">
        <v>1868</v>
      </c>
      <c r="D941" s="178" t="s">
        <v>1869</v>
      </c>
      <c r="E941" s="180">
        <v>6323</v>
      </c>
      <c r="F941" s="192">
        <v>0</v>
      </c>
    </row>
    <row r="942" spans="1:6" ht="12">
      <c r="A942" s="190">
        <v>240314</v>
      </c>
      <c r="B942" s="171" t="s">
        <v>991</v>
      </c>
      <c r="C942" s="200">
        <v>212825328</v>
      </c>
      <c r="D942" s="178" t="s">
        <v>1870</v>
      </c>
      <c r="E942" s="180">
        <v>4779</v>
      </c>
      <c r="F942" s="192">
        <v>0</v>
      </c>
    </row>
    <row r="943" spans="1:6" ht="12">
      <c r="A943" s="190">
        <v>240314</v>
      </c>
      <c r="B943" s="171" t="s">
        <v>991</v>
      </c>
      <c r="C943" s="200" t="s">
        <v>1871</v>
      </c>
      <c r="D943" s="178" t="s">
        <v>1872</v>
      </c>
      <c r="E943" s="180">
        <v>7014</v>
      </c>
      <c r="F943" s="192">
        <v>0</v>
      </c>
    </row>
    <row r="944" spans="1:6" ht="12">
      <c r="A944" s="190">
        <v>240314</v>
      </c>
      <c r="B944" s="171" t="s">
        <v>991</v>
      </c>
      <c r="C944" s="174" t="s">
        <v>1873</v>
      </c>
      <c r="D944" s="178" t="s">
        <v>1874</v>
      </c>
      <c r="E944" s="180">
        <v>5498</v>
      </c>
      <c r="F944" s="192">
        <v>0</v>
      </c>
    </row>
    <row r="945" spans="1:6" ht="12">
      <c r="A945" s="190">
        <v>240314</v>
      </c>
      <c r="B945" s="171" t="s">
        <v>991</v>
      </c>
      <c r="C945" s="200" t="s">
        <v>1875</v>
      </c>
      <c r="D945" s="178" t="s">
        <v>1876</v>
      </c>
      <c r="E945" s="180">
        <v>3848</v>
      </c>
      <c r="F945" s="192">
        <v>0</v>
      </c>
    </row>
    <row r="946" spans="1:6" ht="12">
      <c r="A946" s="190">
        <v>240314</v>
      </c>
      <c r="B946" s="171" t="s">
        <v>991</v>
      </c>
      <c r="C946" s="174" t="s">
        <v>1877</v>
      </c>
      <c r="D946" s="178" t="s">
        <v>1878</v>
      </c>
      <c r="E946" s="180">
        <v>10072</v>
      </c>
      <c r="F946" s="192">
        <v>0</v>
      </c>
    </row>
    <row r="947" spans="1:6" ht="12">
      <c r="A947" s="190">
        <v>240314</v>
      </c>
      <c r="B947" s="171" t="s">
        <v>991</v>
      </c>
      <c r="C947" s="174" t="s">
        <v>1879</v>
      </c>
      <c r="D947" s="178" t="s">
        <v>1880</v>
      </c>
      <c r="E947" s="180">
        <v>19552</v>
      </c>
      <c r="F947" s="192">
        <v>0</v>
      </c>
    </row>
    <row r="948" spans="1:6" ht="12">
      <c r="A948" s="190">
        <v>240314</v>
      </c>
      <c r="B948" s="171" t="s">
        <v>991</v>
      </c>
      <c r="C948" s="174" t="s">
        <v>1881</v>
      </c>
      <c r="D948" s="178" t="s">
        <v>1882</v>
      </c>
      <c r="E948" s="180">
        <v>29439</v>
      </c>
      <c r="F948" s="192">
        <v>0</v>
      </c>
    </row>
    <row r="949" spans="1:6" ht="12">
      <c r="A949" s="190">
        <v>240314</v>
      </c>
      <c r="B949" s="171" t="s">
        <v>991</v>
      </c>
      <c r="C949" s="174" t="s">
        <v>1883</v>
      </c>
      <c r="D949" s="178" t="s">
        <v>1884</v>
      </c>
      <c r="E949" s="180">
        <v>12673</v>
      </c>
      <c r="F949" s="192">
        <v>0</v>
      </c>
    </row>
    <row r="950" spans="1:6" ht="12">
      <c r="A950" s="190">
        <v>240314</v>
      </c>
      <c r="B950" s="171" t="s">
        <v>991</v>
      </c>
      <c r="C950" s="174" t="s">
        <v>1885</v>
      </c>
      <c r="D950" s="178" t="s">
        <v>1886</v>
      </c>
      <c r="E950" s="180">
        <v>8160</v>
      </c>
      <c r="F950" s="192">
        <v>0</v>
      </c>
    </row>
    <row r="951" spans="1:6" ht="12">
      <c r="A951" s="190">
        <v>240314</v>
      </c>
      <c r="B951" s="171" t="s">
        <v>991</v>
      </c>
      <c r="C951" s="174" t="s">
        <v>1887</v>
      </c>
      <c r="D951" s="178" t="s">
        <v>1685</v>
      </c>
      <c r="E951" s="180">
        <v>18529</v>
      </c>
      <c r="F951" s="192">
        <v>0</v>
      </c>
    </row>
    <row r="952" spans="1:6" ht="12">
      <c r="A952" s="190">
        <v>240314</v>
      </c>
      <c r="B952" s="171" t="s">
        <v>991</v>
      </c>
      <c r="C952" s="174" t="s">
        <v>1888</v>
      </c>
      <c r="D952" s="178" t="s">
        <v>1889</v>
      </c>
      <c r="E952" s="180">
        <v>10506</v>
      </c>
      <c r="F952" s="192">
        <v>0</v>
      </c>
    </row>
    <row r="953" spans="1:6" ht="12">
      <c r="A953" s="190">
        <v>240314</v>
      </c>
      <c r="B953" s="171" t="s">
        <v>991</v>
      </c>
      <c r="C953" s="174" t="s">
        <v>1890</v>
      </c>
      <c r="D953" s="178" t="s">
        <v>1891</v>
      </c>
      <c r="E953" s="180">
        <v>8483</v>
      </c>
      <c r="F953" s="192">
        <v>0</v>
      </c>
    </row>
    <row r="954" spans="1:6" ht="12">
      <c r="A954" s="190">
        <v>240314</v>
      </c>
      <c r="B954" s="171" t="s">
        <v>991</v>
      </c>
      <c r="C954" s="174" t="s">
        <v>1892</v>
      </c>
      <c r="D954" s="178" t="s">
        <v>1893</v>
      </c>
      <c r="E954" s="180">
        <v>54228</v>
      </c>
      <c r="F954" s="192">
        <v>0</v>
      </c>
    </row>
    <row r="955" spans="1:6" ht="12">
      <c r="A955" s="190">
        <v>240314</v>
      </c>
      <c r="B955" s="171" t="s">
        <v>991</v>
      </c>
      <c r="C955" s="174" t="s">
        <v>1894</v>
      </c>
      <c r="D955" s="178" t="s">
        <v>1895</v>
      </c>
      <c r="E955" s="180">
        <v>4915</v>
      </c>
      <c r="F955" s="192">
        <v>0</v>
      </c>
    </row>
    <row r="956" spans="1:6" ht="12">
      <c r="A956" s="190">
        <v>240314</v>
      </c>
      <c r="B956" s="171" t="s">
        <v>991</v>
      </c>
      <c r="C956" s="174" t="s">
        <v>1896</v>
      </c>
      <c r="D956" s="178" t="s">
        <v>1897</v>
      </c>
      <c r="E956" s="180">
        <v>11979</v>
      </c>
      <c r="F956" s="192">
        <v>0</v>
      </c>
    </row>
    <row r="957" spans="1:6" ht="12">
      <c r="A957" s="190">
        <v>240314</v>
      </c>
      <c r="B957" s="171" t="s">
        <v>991</v>
      </c>
      <c r="C957" s="174" t="s">
        <v>1898</v>
      </c>
      <c r="D957" s="178" t="s">
        <v>1899</v>
      </c>
      <c r="E957" s="180">
        <v>53353</v>
      </c>
      <c r="F957" s="192">
        <v>0</v>
      </c>
    </row>
    <row r="958" spans="1:6" ht="12">
      <c r="A958" s="190">
        <v>240314</v>
      </c>
      <c r="B958" s="171" t="s">
        <v>991</v>
      </c>
      <c r="C958" s="174">
        <v>218325483</v>
      </c>
      <c r="D958" s="178" t="s">
        <v>1006</v>
      </c>
      <c r="E958" s="180">
        <v>3250</v>
      </c>
      <c r="F958" s="192">
        <v>0</v>
      </c>
    </row>
    <row r="959" spans="1:6" ht="12">
      <c r="A959" s="190">
        <v>240314</v>
      </c>
      <c r="B959" s="171" t="s">
        <v>991</v>
      </c>
      <c r="C959" s="174" t="s">
        <v>1900</v>
      </c>
      <c r="D959" s="178" t="s">
        <v>1901</v>
      </c>
      <c r="E959" s="180">
        <v>14366</v>
      </c>
      <c r="F959" s="192">
        <v>0</v>
      </c>
    </row>
    <row r="960" spans="1:6" ht="12">
      <c r="A960" s="190">
        <v>240314</v>
      </c>
      <c r="B960" s="171" t="s">
        <v>991</v>
      </c>
      <c r="C960" s="174" t="s">
        <v>1902</v>
      </c>
      <c r="D960" s="178" t="s">
        <v>1903</v>
      </c>
      <c r="E960" s="180">
        <v>7261</v>
      </c>
      <c r="F960" s="192">
        <v>0</v>
      </c>
    </row>
    <row r="961" spans="1:6" ht="12">
      <c r="A961" s="190">
        <v>240314</v>
      </c>
      <c r="B961" s="171" t="s">
        <v>991</v>
      </c>
      <c r="C961" s="174" t="s">
        <v>1904</v>
      </c>
      <c r="D961" s="178" t="s">
        <v>1905</v>
      </c>
      <c r="E961" s="180">
        <v>4658</v>
      </c>
      <c r="F961" s="192">
        <v>0</v>
      </c>
    </row>
    <row r="962" spans="1:6" ht="12">
      <c r="A962" s="190">
        <v>240314</v>
      </c>
      <c r="B962" s="171" t="s">
        <v>991</v>
      </c>
      <c r="C962" s="174" t="s">
        <v>1906</v>
      </c>
      <c r="D962" s="178" t="s">
        <v>1907</v>
      </c>
      <c r="E962" s="180">
        <v>7678</v>
      </c>
      <c r="F962" s="192">
        <v>0</v>
      </c>
    </row>
    <row r="963" spans="1:6" ht="12">
      <c r="A963" s="190">
        <v>240314</v>
      </c>
      <c r="B963" s="171" t="s">
        <v>991</v>
      </c>
      <c r="C963" s="174">
        <v>210625506</v>
      </c>
      <c r="D963" s="178" t="s">
        <v>1908</v>
      </c>
      <c r="E963" s="180">
        <v>5056</v>
      </c>
      <c r="F963" s="192">
        <v>0</v>
      </c>
    </row>
    <row r="964" spans="1:6" ht="12">
      <c r="A964" s="190">
        <v>240314</v>
      </c>
      <c r="B964" s="171" t="s">
        <v>991</v>
      </c>
      <c r="C964" s="174" t="s">
        <v>1909</v>
      </c>
      <c r="D964" s="178" t="s">
        <v>1910</v>
      </c>
      <c r="E964" s="180">
        <v>33001</v>
      </c>
      <c r="F964" s="192">
        <v>0</v>
      </c>
    </row>
    <row r="965" spans="1:6" ht="12">
      <c r="A965" s="190">
        <v>240314</v>
      </c>
      <c r="B965" s="171" t="s">
        <v>991</v>
      </c>
      <c r="C965" s="174" t="s">
        <v>1911</v>
      </c>
      <c r="D965" s="178" t="s">
        <v>1912</v>
      </c>
      <c r="E965" s="180">
        <v>7967</v>
      </c>
      <c r="F965" s="192">
        <v>0</v>
      </c>
    </row>
    <row r="966" spans="1:6" ht="12">
      <c r="A966" s="190">
        <v>240314</v>
      </c>
      <c r="B966" s="171" t="s">
        <v>991</v>
      </c>
      <c r="C966" s="174" t="s">
        <v>1913</v>
      </c>
      <c r="D966" s="178" t="s">
        <v>1914</v>
      </c>
      <c r="E966" s="180">
        <v>6767</v>
      </c>
      <c r="F966" s="192">
        <v>0</v>
      </c>
    </row>
    <row r="967" spans="1:6" ht="12">
      <c r="A967" s="190">
        <v>240314</v>
      </c>
      <c r="B967" s="171" t="s">
        <v>991</v>
      </c>
      <c r="C967" s="174" t="s">
        <v>1915</v>
      </c>
      <c r="D967" s="178" t="s">
        <v>1916</v>
      </c>
      <c r="E967" s="180">
        <v>8593</v>
      </c>
      <c r="F967" s="192">
        <v>0</v>
      </c>
    </row>
    <row r="968" spans="1:6" ht="12">
      <c r="A968" s="190">
        <v>240314</v>
      </c>
      <c r="B968" s="171" t="s">
        <v>991</v>
      </c>
      <c r="C968" s="174" t="s">
        <v>1917</v>
      </c>
      <c r="D968" s="178" t="s">
        <v>1918</v>
      </c>
      <c r="E968" s="180">
        <v>16193</v>
      </c>
      <c r="F968" s="192">
        <v>0</v>
      </c>
    </row>
    <row r="969" spans="1:6" ht="12">
      <c r="A969" s="190">
        <v>240314</v>
      </c>
      <c r="B969" s="171" t="s">
        <v>991</v>
      </c>
      <c r="C969" s="174" t="s">
        <v>1919</v>
      </c>
      <c r="D969" s="178" t="s">
        <v>1920</v>
      </c>
      <c r="E969" s="180">
        <v>19100</v>
      </c>
      <c r="F969" s="192">
        <v>0</v>
      </c>
    </row>
    <row r="970" spans="1:6" ht="12">
      <c r="A970" s="190">
        <v>240314</v>
      </c>
      <c r="B970" s="171" t="s">
        <v>991</v>
      </c>
      <c r="C970" s="174" t="s">
        <v>1921</v>
      </c>
      <c r="D970" s="178" t="s">
        <v>1922</v>
      </c>
      <c r="E970" s="180">
        <v>4078</v>
      </c>
      <c r="F970" s="192">
        <v>0</v>
      </c>
    </row>
    <row r="971" spans="1:6" ht="12">
      <c r="A971" s="190">
        <v>240314</v>
      </c>
      <c r="B971" s="171" t="s">
        <v>991</v>
      </c>
      <c r="C971" s="174" t="s">
        <v>1923</v>
      </c>
      <c r="D971" s="178" t="s">
        <v>1924</v>
      </c>
      <c r="E971" s="180">
        <v>5289</v>
      </c>
      <c r="F971" s="192">
        <v>0</v>
      </c>
    </row>
    <row r="972" spans="1:6" ht="12">
      <c r="A972" s="190">
        <v>240314</v>
      </c>
      <c r="B972" s="171" t="s">
        <v>991</v>
      </c>
      <c r="C972" s="174" t="s">
        <v>1925</v>
      </c>
      <c r="D972" s="178" t="s">
        <v>1926</v>
      </c>
      <c r="E972" s="180">
        <v>6631</v>
      </c>
      <c r="F972" s="192">
        <v>0</v>
      </c>
    </row>
    <row r="973" spans="1:6" ht="12">
      <c r="A973" s="190">
        <v>240314</v>
      </c>
      <c r="B973" s="171" t="s">
        <v>991</v>
      </c>
      <c r="C973" s="174">
        <v>219625596</v>
      </c>
      <c r="D973" s="178" t="s">
        <v>1927</v>
      </c>
      <c r="E973" s="180">
        <v>11541</v>
      </c>
      <c r="F973" s="192">
        <v>0</v>
      </c>
    </row>
    <row r="974" spans="1:6" ht="12">
      <c r="A974" s="190">
        <v>240314</v>
      </c>
      <c r="B974" s="171" t="s">
        <v>991</v>
      </c>
      <c r="C974" s="200" t="s">
        <v>1928</v>
      </c>
      <c r="D974" s="178" t="s">
        <v>1929</v>
      </c>
      <c r="E974" s="180">
        <v>8801</v>
      </c>
      <c r="F974" s="192">
        <v>0</v>
      </c>
    </row>
    <row r="975" spans="1:6" ht="12">
      <c r="A975" s="190">
        <v>240314</v>
      </c>
      <c r="B975" s="171" t="s">
        <v>991</v>
      </c>
      <c r="C975" s="174" t="s">
        <v>1930</v>
      </c>
      <c r="D975" s="178" t="s">
        <v>1931</v>
      </c>
      <c r="E975" s="180">
        <v>9169</v>
      </c>
      <c r="F975" s="192">
        <v>0</v>
      </c>
    </row>
    <row r="976" spans="1:6" ht="12">
      <c r="A976" s="190">
        <v>240314</v>
      </c>
      <c r="B976" s="171" t="s">
        <v>991</v>
      </c>
      <c r="C976" s="174" t="s">
        <v>1932</v>
      </c>
      <c r="D976" s="178" t="s">
        <v>1933</v>
      </c>
      <c r="E976" s="180">
        <v>14119</v>
      </c>
      <c r="F976" s="192">
        <v>0</v>
      </c>
    </row>
    <row r="977" spans="1:6" ht="12">
      <c r="A977" s="190">
        <v>240314</v>
      </c>
      <c r="B977" s="171" t="s">
        <v>991</v>
      </c>
      <c r="C977" s="174" t="s">
        <v>1934</v>
      </c>
      <c r="D977" s="178" t="s">
        <v>1935</v>
      </c>
      <c r="E977" s="180">
        <v>13494</v>
      </c>
      <c r="F977" s="192">
        <v>0</v>
      </c>
    </row>
    <row r="978" spans="1:6" ht="12">
      <c r="A978" s="190">
        <v>240314</v>
      </c>
      <c r="B978" s="171" t="s">
        <v>991</v>
      </c>
      <c r="C978" s="174" t="s">
        <v>1936</v>
      </c>
      <c r="D978" s="178" t="s">
        <v>1937</v>
      </c>
      <c r="E978" s="180">
        <v>6394</v>
      </c>
      <c r="F978" s="192">
        <v>0</v>
      </c>
    </row>
    <row r="979" spans="1:6" ht="12">
      <c r="A979" s="190">
        <v>240314</v>
      </c>
      <c r="B979" s="171" t="s">
        <v>991</v>
      </c>
      <c r="C979" s="174" t="s">
        <v>1938</v>
      </c>
      <c r="D979" s="178" t="s">
        <v>1249</v>
      </c>
      <c r="E979" s="180">
        <v>9320</v>
      </c>
      <c r="F979" s="192">
        <v>0</v>
      </c>
    </row>
    <row r="980" spans="1:6" ht="12">
      <c r="A980" s="190">
        <v>240314</v>
      </c>
      <c r="B980" s="171" t="s">
        <v>991</v>
      </c>
      <c r="C980" s="174" t="s">
        <v>1939</v>
      </c>
      <c r="D980" s="178" t="s">
        <v>1940</v>
      </c>
      <c r="E980" s="180">
        <v>11914</v>
      </c>
      <c r="F980" s="192">
        <v>0</v>
      </c>
    </row>
    <row r="981" spans="1:6" ht="12">
      <c r="A981" s="190">
        <v>240314</v>
      </c>
      <c r="B981" s="171" t="s">
        <v>991</v>
      </c>
      <c r="C981" s="174" t="s">
        <v>1941</v>
      </c>
      <c r="D981" s="178" t="s">
        <v>1942</v>
      </c>
      <c r="E981" s="180">
        <v>14109</v>
      </c>
      <c r="F981" s="192">
        <v>0</v>
      </c>
    </row>
    <row r="982" spans="1:6" ht="12">
      <c r="A982" s="190">
        <v>240314</v>
      </c>
      <c r="B982" s="171" t="s">
        <v>991</v>
      </c>
      <c r="C982" s="174" t="s">
        <v>1943</v>
      </c>
      <c r="D982" s="178" t="s">
        <v>1944</v>
      </c>
      <c r="E982" s="180">
        <v>11494</v>
      </c>
      <c r="F982" s="192">
        <v>0</v>
      </c>
    </row>
    <row r="983" spans="1:6" ht="12">
      <c r="A983" s="190">
        <v>240314</v>
      </c>
      <c r="B983" s="171" t="s">
        <v>991</v>
      </c>
      <c r="C983" s="174" t="s">
        <v>1945</v>
      </c>
      <c r="D983" s="178" t="s">
        <v>1946</v>
      </c>
      <c r="E983" s="180">
        <v>30719</v>
      </c>
      <c r="F983" s="192">
        <v>0</v>
      </c>
    </row>
    <row r="984" spans="1:6" ht="12">
      <c r="A984" s="190">
        <v>240314</v>
      </c>
      <c r="B984" s="171" t="s">
        <v>991</v>
      </c>
      <c r="C984" s="174" t="s">
        <v>1947</v>
      </c>
      <c r="D984" s="178" t="s">
        <v>1948</v>
      </c>
      <c r="E984" s="180">
        <v>25190</v>
      </c>
      <c r="F984" s="192">
        <v>0</v>
      </c>
    </row>
    <row r="985" spans="1:6" ht="12">
      <c r="A985" s="190">
        <v>240314</v>
      </c>
      <c r="B985" s="171" t="s">
        <v>991</v>
      </c>
      <c r="C985" s="174" t="s">
        <v>1949</v>
      </c>
      <c r="D985" s="178" t="s">
        <v>1950</v>
      </c>
      <c r="E985" s="180">
        <v>14522</v>
      </c>
      <c r="F985" s="192">
        <v>0</v>
      </c>
    </row>
    <row r="986" spans="1:6" ht="12">
      <c r="A986" s="190">
        <v>240314</v>
      </c>
      <c r="B986" s="171" t="s">
        <v>991</v>
      </c>
      <c r="C986" s="174" t="s">
        <v>1951</v>
      </c>
      <c r="D986" s="178" t="s">
        <v>1952</v>
      </c>
      <c r="E986" s="180">
        <v>21025</v>
      </c>
      <c r="F986" s="192">
        <v>0</v>
      </c>
    </row>
    <row r="987" spans="1:6" ht="12">
      <c r="A987" s="190">
        <v>240314</v>
      </c>
      <c r="B987" s="171" t="s">
        <v>991</v>
      </c>
      <c r="C987" s="174" t="s">
        <v>1953</v>
      </c>
      <c r="D987" s="178" t="s">
        <v>1954</v>
      </c>
      <c r="E987" s="180">
        <v>14265</v>
      </c>
      <c r="F987" s="192">
        <v>0</v>
      </c>
    </row>
    <row r="988" spans="1:6" ht="12">
      <c r="A988" s="190">
        <v>240314</v>
      </c>
      <c r="B988" s="171" t="s">
        <v>991</v>
      </c>
      <c r="C988" s="174" t="s">
        <v>1955</v>
      </c>
      <c r="D988" s="178" t="s">
        <v>1956</v>
      </c>
      <c r="E988" s="180">
        <v>16697</v>
      </c>
      <c r="F988" s="192">
        <v>0</v>
      </c>
    </row>
    <row r="989" spans="1:6" ht="12">
      <c r="A989" s="190">
        <v>240314</v>
      </c>
      <c r="B989" s="171" t="s">
        <v>991</v>
      </c>
      <c r="C989" s="174" t="s">
        <v>1957</v>
      </c>
      <c r="D989" s="178" t="s">
        <v>1958</v>
      </c>
      <c r="E989" s="180">
        <v>6570</v>
      </c>
      <c r="F989" s="192">
        <v>0</v>
      </c>
    </row>
    <row r="990" spans="1:6" ht="12">
      <c r="A990" s="190">
        <v>240314</v>
      </c>
      <c r="B990" s="171" t="s">
        <v>991</v>
      </c>
      <c r="C990" s="174" t="s">
        <v>1959</v>
      </c>
      <c r="D990" s="178" t="s">
        <v>1960</v>
      </c>
      <c r="E990" s="180">
        <v>6999</v>
      </c>
      <c r="F990" s="192">
        <v>0</v>
      </c>
    </row>
    <row r="991" spans="1:6" ht="12">
      <c r="A991" s="190">
        <v>240314</v>
      </c>
      <c r="B991" s="171" t="s">
        <v>991</v>
      </c>
      <c r="C991" s="174" t="s">
        <v>1961</v>
      </c>
      <c r="D991" s="178" t="s">
        <v>1962</v>
      </c>
      <c r="E991" s="180">
        <v>5773</v>
      </c>
      <c r="F991" s="192">
        <v>0</v>
      </c>
    </row>
    <row r="992" spans="1:6" ht="12">
      <c r="A992" s="190">
        <v>240314</v>
      </c>
      <c r="B992" s="171" t="s">
        <v>991</v>
      </c>
      <c r="C992" s="174" t="s">
        <v>1963</v>
      </c>
      <c r="D992" s="178" t="s">
        <v>1964</v>
      </c>
      <c r="E992" s="180">
        <v>18281</v>
      </c>
      <c r="F992" s="192">
        <v>0</v>
      </c>
    </row>
    <row r="993" spans="1:6" ht="12">
      <c r="A993" s="190">
        <v>240314</v>
      </c>
      <c r="B993" s="171" t="s">
        <v>991</v>
      </c>
      <c r="C993" s="174" t="s">
        <v>1965</v>
      </c>
      <c r="D993" s="178" t="s">
        <v>1966</v>
      </c>
      <c r="E993" s="180">
        <v>9401</v>
      </c>
      <c r="F993" s="192">
        <v>0</v>
      </c>
    </row>
    <row r="994" spans="1:6" ht="12">
      <c r="A994" s="190">
        <v>240314</v>
      </c>
      <c r="B994" s="171" t="s">
        <v>991</v>
      </c>
      <c r="C994" s="174" t="s">
        <v>1967</v>
      </c>
      <c r="D994" s="178" t="s">
        <v>1968</v>
      </c>
      <c r="E994" s="180">
        <v>10481</v>
      </c>
      <c r="F994" s="192">
        <v>0</v>
      </c>
    </row>
    <row r="995" spans="1:6" ht="12">
      <c r="A995" s="190">
        <v>240314</v>
      </c>
      <c r="B995" s="171" t="s">
        <v>991</v>
      </c>
      <c r="C995" s="174" t="s">
        <v>1969</v>
      </c>
      <c r="D995" s="178" t="s">
        <v>1970</v>
      </c>
      <c r="E995" s="180">
        <v>16025</v>
      </c>
      <c r="F995" s="192">
        <v>0</v>
      </c>
    </row>
    <row r="996" spans="1:6" ht="12">
      <c r="A996" s="190">
        <v>240314</v>
      </c>
      <c r="B996" s="171" t="s">
        <v>991</v>
      </c>
      <c r="C996" s="174" t="s">
        <v>1971</v>
      </c>
      <c r="D996" s="178" t="s">
        <v>1972</v>
      </c>
      <c r="E996" s="180">
        <v>5102</v>
      </c>
      <c r="F996" s="192">
        <v>0</v>
      </c>
    </row>
    <row r="997" spans="1:6" ht="12">
      <c r="A997" s="190">
        <v>240314</v>
      </c>
      <c r="B997" s="171" t="s">
        <v>991</v>
      </c>
      <c r="C997" s="174" t="s">
        <v>1973</v>
      </c>
      <c r="D997" s="178" t="s">
        <v>1974</v>
      </c>
      <c r="E997" s="180">
        <v>3129</v>
      </c>
      <c r="F997" s="192">
        <v>0</v>
      </c>
    </row>
    <row r="998" spans="1:6" ht="12">
      <c r="A998" s="190">
        <v>240314</v>
      </c>
      <c r="B998" s="171" t="s">
        <v>991</v>
      </c>
      <c r="C998" s="174" t="s">
        <v>1975</v>
      </c>
      <c r="D998" s="178" t="s">
        <v>1976</v>
      </c>
      <c r="E998" s="180">
        <v>17475</v>
      </c>
      <c r="F998" s="192">
        <v>0</v>
      </c>
    </row>
    <row r="999" spans="1:6" ht="12">
      <c r="A999" s="190">
        <v>240314</v>
      </c>
      <c r="B999" s="171" t="s">
        <v>991</v>
      </c>
      <c r="C999" s="174" t="s">
        <v>1977</v>
      </c>
      <c r="D999" s="178" t="s">
        <v>1978</v>
      </c>
      <c r="E999" s="180">
        <v>30003</v>
      </c>
      <c r="F999" s="192">
        <v>0</v>
      </c>
    </row>
    <row r="1000" spans="1:6" ht="12">
      <c r="A1000" s="190">
        <v>240314</v>
      </c>
      <c r="B1000" s="171" t="s">
        <v>991</v>
      </c>
      <c r="C1000" s="174" t="s">
        <v>1979</v>
      </c>
      <c r="D1000" s="178" t="s">
        <v>1980</v>
      </c>
      <c r="E1000" s="180">
        <v>6359</v>
      </c>
      <c r="F1000" s="192">
        <v>0</v>
      </c>
    </row>
    <row r="1001" spans="1:6" ht="12">
      <c r="A1001" s="190">
        <v>240314</v>
      </c>
      <c r="B1001" s="171" t="s">
        <v>991</v>
      </c>
      <c r="C1001" s="174" t="s">
        <v>1981</v>
      </c>
      <c r="D1001" s="178" t="s">
        <v>1982</v>
      </c>
      <c r="E1001" s="180">
        <v>14306</v>
      </c>
      <c r="F1001" s="192">
        <v>0</v>
      </c>
    </row>
    <row r="1002" spans="1:6" ht="12">
      <c r="A1002" s="190">
        <v>240314</v>
      </c>
      <c r="B1002" s="171" t="s">
        <v>991</v>
      </c>
      <c r="C1002" s="174" t="s">
        <v>1983</v>
      </c>
      <c r="D1002" s="178" t="s">
        <v>1984</v>
      </c>
      <c r="E1002" s="180">
        <v>7655</v>
      </c>
      <c r="F1002" s="192">
        <v>0</v>
      </c>
    </row>
    <row r="1003" spans="1:6" ht="12">
      <c r="A1003" s="190">
        <v>240314</v>
      </c>
      <c r="B1003" s="171" t="s">
        <v>991</v>
      </c>
      <c r="C1003" s="174" t="s">
        <v>1985</v>
      </c>
      <c r="D1003" s="178" t="s">
        <v>1986</v>
      </c>
      <c r="E1003" s="180">
        <v>37804</v>
      </c>
      <c r="F1003" s="192">
        <v>0</v>
      </c>
    </row>
    <row r="1004" spans="1:6" ht="12">
      <c r="A1004" s="190">
        <v>240314</v>
      </c>
      <c r="B1004" s="171" t="s">
        <v>991</v>
      </c>
      <c r="C1004" s="174" t="s">
        <v>1987</v>
      </c>
      <c r="D1004" s="178" t="s">
        <v>1988</v>
      </c>
      <c r="E1004" s="180">
        <v>8200</v>
      </c>
      <c r="F1004" s="192">
        <v>0</v>
      </c>
    </row>
    <row r="1005" spans="1:6" ht="12">
      <c r="A1005" s="190">
        <v>240314</v>
      </c>
      <c r="B1005" s="171" t="s">
        <v>991</v>
      </c>
      <c r="C1005" s="174" t="s">
        <v>1989</v>
      </c>
      <c r="D1005" s="178" t="s">
        <v>1990</v>
      </c>
      <c r="E1005" s="180">
        <v>5137</v>
      </c>
      <c r="F1005" s="192">
        <v>0</v>
      </c>
    </row>
    <row r="1006" spans="1:6" ht="12">
      <c r="A1006" s="190">
        <v>240314</v>
      </c>
      <c r="B1006" s="171" t="s">
        <v>991</v>
      </c>
      <c r="C1006" s="174" t="s">
        <v>1991</v>
      </c>
      <c r="D1006" s="178" t="s">
        <v>1992</v>
      </c>
      <c r="E1006" s="180">
        <v>9194</v>
      </c>
      <c r="F1006" s="192">
        <v>0</v>
      </c>
    </row>
    <row r="1007" spans="1:6" ht="12">
      <c r="A1007" s="190">
        <v>240314</v>
      </c>
      <c r="B1007" s="171" t="s">
        <v>991</v>
      </c>
      <c r="C1007" s="174" t="s">
        <v>1993</v>
      </c>
      <c r="D1007" s="178" t="s">
        <v>1994</v>
      </c>
      <c r="E1007" s="180">
        <v>5243</v>
      </c>
      <c r="F1007" s="192">
        <v>0</v>
      </c>
    </row>
    <row r="1008" spans="1:6" ht="12">
      <c r="A1008" s="190">
        <v>240314</v>
      </c>
      <c r="B1008" s="171" t="s">
        <v>991</v>
      </c>
      <c r="C1008" s="174" t="s">
        <v>1995</v>
      </c>
      <c r="D1008" s="178" t="s">
        <v>1996</v>
      </c>
      <c r="E1008" s="180">
        <v>2897</v>
      </c>
      <c r="F1008" s="192">
        <v>0</v>
      </c>
    </row>
    <row r="1009" spans="1:6" ht="12">
      <c r="A1009" s="190">
        <v>240314</v>
      </c>
      <c r="B1009" s="171" t="s">
        <v>991</v>
      </c>
      <c r="C1009" s="200" t="s">
        <v>1997</v>
      </c>
      <c r="D1009" s="178" t="s">
        <v>1998</v>
      </c>
      <c r="E1009" s="180">
        <v>21566</v>
      </c>
      <c r="F1009" s="192">
        <v>0</v>
      </c>
    </row>
    <row r="1010" spans="1:6" ht="12">
      <c r="A1010" s="190">
        <v>240314</v>
      </c>
      <c r="B1010" s="171" t="s">
        <v>991</v>
      </c>
      <c r="C1010" s="174" t="s">
        <v>1999</v>
      </c>
      <c r="D1010" s="178" t="s">
        <v>2000</v>
      </c>
      <c r="E1010" s="180">
        <v>27810</v>
      </c>
      <c r="F1010" s="192">
        <v>0</v>
      </c>
    </row>
    <row r="1011" spans="1:6" ht="12">
      <c r="A1011" s="190">
        <v>240314</v>
      </c>
      <c r="B1011" s="171" t="s">
        <v>991</v>
      </c>
      <c r="C1011" s="174" t="s">
        <v>2001</v>
      </c>
      <c r="D1011" s="178" t="s">
        <v>2002</v>
      </c>
      <c r="E1011" s="180">
        <v>18096</v>
      </c>
      <c r="F1011" s="192">
        <v>0</v>
      </c>
    </row>
    <row r="1012" spans="1:6" ht="12">
      <c r="A1012" s="190">
        <v>240314</v>
      </c>
      <c r="B1012" s="171" t="s">
        <v>991</v>
      </c>
      <c r="C1012" s="174" t="s">
        <v>2003</v>
      </c>
      <c r="D1012" s="178" t="s">
        <v>2004</v>
      </c>
      <c r="E1012" s="180">
        <v>24713</v>
      </c>
      <c r="F1012" s="192">
        <v>0</v>
      </c>
    </row>
    <row r="1013" spans="1:6" ht="12">
      <c r="A1013" s="190">
        <v>240314</v>
      </c>
      <c r="B1013" s="171" t="s">
        <v>991</v>
      </c>
      <c r="C1013" s="174" t="s">
        <v>2005</v>
      </c>
      <c r="D1013" s="178" t="s">
        <v>2006</v>
      </c>
      <c r="E1013" s="180">
        <v>5641</v>
      </c>
      <c r="F1013" s="192">
        <v>0</v>
      </c>
    </row>
    <row r="1014" spans="1:6" ht="12">
      <c r="A1014" s="190">
        <v>240314</v>
      </c>
      <c r="B1014" s="171" t="s">
        <v>991</v>
      </c>
      <c r="C1014" s="174" t="s">
        <v>2007</v>
      </c>
      <c r="D1014" s="178" t="s">
        <v>2008</v>
      </c>
      <c r="E1014" s="180">
        <v>95267</v>
      </c>
      <c r="F1014" s="192">
        <v>0</v>
      </c>
    </row>
    <row r="1015" spans="1:6" ht="12">
      <c r="A1015" s="190">
        <v>240314</v>
      </c>
      <c r="B1015" s="171" t="s">
        <v>991</v>
      </c>
      <c r="C1015" s="174">
        <v>210127001</v>
      </c>
      <c r="D1015" s="178" t="s">
        <v>2009</v>
      </c>
      <c r="E1015" s="180">
        <v>232346</v>
      </c>
      <c r="F1015" s="192">
        <v>0</v>
      </c>
    </row>
    <row r="1016" spans="1:6" ht="12">
      <c r="A1016" s="190">
        <v>240314</v>
      </c>
      <c r="B1016" s="171" t="s">
        <v>991</v>
      </c>
      <c r="C1016" s="200" t="s">
        <v>2010</v>
      </c>
      <c r="D1016" s="178" t="s">
        <v>2011</v>
      </c>
      <c r="E1016" s="180">
        <v>15432</v>
      </c>
      <c r="F1016" s="192">
        <v>0</v>
      </c>
    </row>
    <row r="1017" spans="1:6" ht="12">
      <c r="A1017" s="190">
        <v>240314</v>
      </c>
      <c r="B1017" s="171" t="s">
        <v>991</v>
      </c>
      <c r="C1017" s="200" t="s">
        <v>2012</v>
      </c>
      <c r="D1017" s="178" t="s">
        <v>2013</v>
      </c>
      <c r="E1017" s="180">
        <v>35263</v>
      </c>
      <c r="F1017" s="192">
        <v>0</v>
      </c>
    </row>
    <row r="1018" spans="1:6" ht="12">
      <c r="A1018" s="190">
        <v>240314</v>
      </c>
      <c r="B1018" s="171" t="s">
        <v>991</v>
      </c>
      <c r="C1018" s="174">
        <v>215027050</v>
      </c>
      <c r="D1018" s="178" t="s">
        <v>2014</v>
      </c>
      <c r="E1018" s="180">
        <v>14041</v>
      </c>
      <c r="F1018" s="192">
        <v>0</v>
      </c>
    </row>
    <row r="1019" spans="1:6" ht="12">
      <c r="A1019" s="190">
        <v>240314</v>
      </c>
      <c r="B1019" s="171" t="s">
        <v>991</v>
      </c>
      <c r="C1019" s="200">
        <v>217327073</v>
      </c>
      <c r="D1019" s="178" t="s">
        <v>2015</v>
      </c>
      <c r="E1019" s="180">
        <v>20419</v>
      </c>
      <c r="F1019" s="192">
        <v>0</v>
      </c>
    </row>
    <row r="1020" spans="1:6" ht="12">
      <c r="A1020" s="190">
        <v>240314</v>
      </c>
      <c r="B1020" s="171" t="s">
        <v>991</v>
      </c>
      <c r="C1020" s="200" t="s">
        <v>2016</v>
      </c>
      <c r="D1020" s="178" t="s">
        <v>2017</v>
      </c>
      <c r="E1020" s="180">
        <v>14846</v>
      </c>
      <c r="F1020" s="192">
        <v>0</v>
      </c>
    </row>
    <row r="1021" spans="1:6" ht="12">
      <c r="A1021" s="190">
        <v>240314</v>
      </c>
      <c r="B1021" s="171" t="s">
        <v>991</v>
      </c>
      <c r="C1021" s="174" t="s">
        <v>2018</v>
      </c>
      <c r="D1021" s="178" t="s">
        <v>2019</v>
      </c>
      <c r="E1021" s="180">
        <v>29312</v>
      </c>
      <c r="F1021" s="192">
        <v>0</v>
      </c>
    </row>
    <row r="1022" spans="1:6" ht="12">
      <c r="A1022" s="190">
        <v>240314</v>
      </c>
      <c r="B1022" s="171" t="s">
        <v>991</v>
      </c>
      <c r="C1022" s="174" t="s">
        <v>2020</v>
      </c>
      <c r="D1022" s="178" t="s">
        <v>2021</v>
      </c>
      <c r="E1022" s="180">
        <v>21699</v>
      </c>
      <c r="F1022" s="192">
        <v>0</v>
      </c>
    </row>
    <row r="1023" spans="1:6" ht="12">
      <c r="A1023" s="190">
        <v>240314</v>
      </c>
      <c r="B1023" s="171" t="s">
        <v>991</v>
      </c>
      <c r="C1023" s="174" t="s">
        <v>2022</v>
      </c>
      <c r="D1023" s="178" t="s">
        <v>2023</v>
      </c>
      <c r="E1023" s="180">
        <v>12449</v>
      </c>
      <c r="F1023" s="192">
        <v>0</v>
      </c>
    </row>
    <row r="1024" spans="1:6" ht="12">
      <c r="A1024" s="190">
        <v>240314</v>
      </c>
      <c r="B1024" s="171" t="s">
        <v>991</v>
      </c>
      <c r="C1024" s="200" t="s">
        <v>2024</v>
      </c>
      <c r="D1024" s="178" t="s">
        <v>2025</v>
      </c>
      <c r="E1024" s="180">
        <v>12777</v>
      </c>
      <c r="F1024" s="192">
        <v>0</v>
      </c>
    </row>
    <row r="1025" spans="1:6" ht="12">
      <c r="A1025" s="190">
        <v>240314</v>
      </c>
      <c r="B1025" s="171" t="s">
        <v>991</v>
      </c>
      <c r="C1025" s="174" t="s">
        <v>2026</v>
      </c>
      <c r="D1025" s="178" t="s">
        <v>2027</v>
      </c>
      <c r="E1025" s="180">
        <v>7549</v>
      </c>
      <c r="F1025" s="192">
        <v>0</v>
      </c>
    </row>
    <row r="1026" spans="1:6" ht="12">
      <c r="A1026" s="190">
        <v>240314</v>
      </c>
      <c r="B1026" s="171" t="s">
        <v>991</v>
      </c>
      <c r="C1026" s="174" t="s">
        <v>2028</v>
      </c>
      <c r="D1026" s="178" t="s">
        <v>2029</v>
      </c>
      <c r="E1026" s="180">
        <v>28431</v>
      </c>
      <c r="F1026" s="192">
        <v>0</v>
      </c>
    </row>
    <row r="1027" spans="1:6" ht="12">
      <c r="A1027" s="190">
        <v>240314</v>
      </c>
      <c r="B1027" s="171" t="s">
        <v>991</v>
      </c>
      <c r="C1027" s="174" t="s">
        <v>2030</v>
      </c>
      <c r="D1027" s="178" t="s">
        <v>2031</v>
      </c>
      <c r="E1027" s="180">
        <v>8851</v>
      </c>
      <c r="F1027" s="192">
        <v>0</v>
      </c>
    </row>
    <row r="1028" spans="1:6" ht="12">
      <c r="A1028" s="190">
        <v>240314</v>
      </c>
      <c r="B1028" s="171" t="s">
        <v>991</v>
      </c>
      <c r="C1028" s="174" t="s">
        <v>2032</v>
      </c>
      <c r="D1028" s="178" t="s">
        <v>2033</v>
      </c>
      <c r="E1028" s="180">
        <v>23479</v>
      </c>
      <c r="F1028" s="192">
        <v>0</v>
      </c>
    </row>
    <row r="1029" spans="1:6" ht="12">
      <c r="A1029" s="190">
        <v>240314</v>
      </c>
      <c r="B1029" s="171" t="s">
        <v>991</v>
      </c>
      <c r="C1029" s="174">
        <v>216127361</v>
      </c>
      <c r="D1029" s="178" t="s">
        <v>2034</v>
      </c>
      <c r="E1029" s="180">
        <v>58872</v>
      </c>
      <c r="F1029" s="192">
        <v>0</v>
      </c>
    </row>
    <row r="1030" spans="1:6" ht="12">
      <c r="A1030" s="190">
        <v>240314</v>
      </c>
      <c r="B1030" s="171" t="s">
        <v>991</v>
      </c>
      <c r="C1030" s="174">
        <v>217227372</v>
      </c>
      <c r="D1030" s="178" t="s">
        <v>2035</v>
      </c>
      <c r="E1030" s="180">
        <v>4796</v>
      </c>
      <c r="F1030" s="192">
        <v>0</v>
      </c>
    </row>
    <row r="1031" spans="1:6" ht="12">
      <c r="A1031" s="190">
        <v>240314</v>
      </c>
      <c r="B1031" s="171" t="s">
        <v>991</v>
      </c>
      <c r="C1031" s="174">
        <v>211327413</v>
      </c>
      <c r="D1031" s="178" t="s">
        <v>2036</v>
      </c>
      <c r="E1031" s="180">
        <v>17471</v>
      </c>
      <c r="F1031" s="192">
        <v>0</v>
      </c>
    </row>
    <row r="1032" spans="1:6" ht="12">
      <c r="A1032" s="190">
        <v>240314</v>
      </c>
      <c r="B1032" s="171" t="s">
        <v>991</v>
      </c>
      <c r="C1032" s="200">
        <v>212527425</v>
      </c>
      <c r="D1032" s="178" t="s">
        <v>2037</v>
      </c>
      <c r="E1032" s="180">
        <v>15583</v>
      </c>
      <c r="F1032" s="192">
        <v>0</v>
      </c>
    </row>
    <row r="1033" spans="1:6" ht="12">
      <c r="A1033" s="190">
        <v>240314</v>
      </c>
      <c r="B1033" s="171" t="s">
        <v>991</v>
      </c>
      <c r="C1033" s="200">
        <v>213027430</v>
      </c>
      <c r="D1033" s="178" t="s">
        <v>2038</v>
      </c>
      <c r="E1033" s="180">
        <v>23771</v>
      </c>
      <c r="F1033" s="192">
        <v>0</v>
      </c>
    </row>
    <row r="1034" spans="1:6" ht="12">
      <c r="A1034" s="190">
        <v>240314</v>
      </c>
      <c r="B1034" s="171" t="s">
        <v>991</v>
      </c>
      <c r="C1034" s="200">
        <v>215027450</v>
      </c>
      <c r="D1034" s="178" t="s">
        <v>2039</v>
      </c>
      <c r="E1034" s="180">
        <v>17830</v>
      </c>
      <c r="F1034" s="192">
        <v>0</v>
      </c>
    </row>
    <row r="1035" spans="1:6" ht="12">
      <c r="A1035" s="190">
        <v>240314</v>
      </c>
      <c r="B1035" s="171" t="s">
        <v>991</v>
      </c>
      <c r="C1035" s="200">
        <v>219127491</v>
      </c>
      <c r="D1035" s="178" t="s">
        <v>2040</v>
      </c>
      <c r="E1035" s="180">
        <v>10426</v>
      </c>
      <c r="F1035" s="192">
        <v>0</v>
      </c>
    </row>
    <row r="1036" spans="1:6" ht="12">
      <c r="A1036" s="190">
        <v>240314</v>
      </c>
      <c r="B1036" s="171" t="s">
        <v>991</v>
      </c>
      <c r="C1036" s="174">
        <v>219527495</v>
      </c>
      <c r="D1036" s="178" t="s">
        <v>2041</v>
      </c>
      <c r="E1036" s="180">
        <v>12188</v>
      </c>
      <c r="F1036" s="192">
        <v>0</v>
      </c>
    </row>
    <row r="1037" spans="1:6" ht="12">
      <c r="A1037" s="190">
        <v>240314</v>
      </c>
      <c r="B1037" s="171" t="s">
        <v>991</v>
      </c>
      <c r="C1037" s="174">
        <v>218027580</v>
      </c>
      <c r="D1037" s="178" t="s">
        <v>2042</v>
      </c>
      <c r="E1037" s="180">
        <v>10274</v>
      </c>
      <c r="F1037" s="192">
        <v>0</v>
      </c>
    </row>
    <row r="1038" spans="1:6" ht="12">
      <c r="A1038" s="190">
        <v>240314</v>
      </c>
      <c r="B1038" s="171" t="s">
        <v>991</v>
      </c>
      <c r="C1038" s="174">
        <v>210027600</v>
      </c>
      <c r="D1038" s="178" t="s">
        <v>2043</v>
      </c>
      <c r="E1038" s="180">
        <v>16090</v>
      </c>
      <c r="F1038" s="192">
        <v>0</v>
      </c>
    </row>
    <row r="1039" spans="1:6" ht="12">
      <c r="A1039" s="190">
        <v>240314</v>
      </c>
      <c r="B1039" s="171" t="s">
        <v>991</v>
      </c>
      <c r="C1039" s="174">
        <v>211417614</v>
      </c>
      <c r="D1039" s="178" t="s">
        <v>2044</v>
      </c>
      <c r="E1039" s="180">
        <v>48589</v>
      </c>
      <c r="F1039" s="192">
        <v>0</v>
      </c>
    </row>
    <row r="1040" spans="1:6" ht="12">
      <c r="A1040" s="190">
        <v>240314</v>
      </c>
      <c r="B1040" s="171" t="s">
        <v>991</v>
      </c>
      <c r="C1040" s="174">
        <v>216027660</v>
      </c>
      <c r="D1040" s="178" t="s">
        <v>2045</v>
      </c>
      <c r="E1040" s="180">
        <v>7090</v>
      </c>
      <c r="F1040" s="192">
        <v>0</v>
      </c>
    </row>
    <row r="1041" spans="1:6" ht="12">
      <c r="A1041" s="190">
        <v>240314</v>
      </c>
      <c r="B1041" s="171" t="s">
        <v>991</v>
      </c>
      <c r="C1041" s="174">
        <v>214527745</v>
      </c>
      <c r="D1041" s="178" t="s">
        <v>2046</v>
      </c>
      <c r="E1041" s="180">
        <v>7141</v>
      </c>
      <c r="F1041" s="192">
        <v>0</v>
      </c>
    </row>
    <row r="1042" spans="1:6" ht="12">
      <c r="A1042" s="190">
        <v>240314</v>
      </c>
      <c r="B1042" s="171" t="s">
        <v>991</v>
      </c>
      <c r="C1042" s="200" t="s">
        <v>2047</v>
      </c>
      <c r="D1042" s="178" t="s">
        <v>2048</v>
      </c>
      <c r="E1042" s="180">
        <v>35476</v>
      </c>
      <c r="F1042" s="192">
        <v>0</v>
      </c>
    </row>
    <row r="1043" spans="1:6" ht="12">
      <c r="A1043" s="190">
        <v>240314</v>
      </c>
      <c r="B1043" s="171" t="s">
        <v>991</v>
      </c>
      <c r="C1043" s="200">
        <v>210027800</v>
      </c>
      <c r="D1043" s="178" t="s">
        <v>2049</v>
      </c>
      <c r="E1043" s="180">
        <v>20360</v>
      </c>
      <c r="F1043" s="192">
        <v>0</v>
      </c>
    </row>
    <row r="1044" spans="1:6" ht="12">
      <c r="A1044" s="190">
        <v>240314</v>
      </c>
      <c r="B1044" s="171" t="s">
        <v>991</v>
      </c>
      <c r="C1044" s="200">
        <v>211027810</v>
      </c>
      <c r="D1044" s="178" t="s">
        <v>2050</v>
      </c>
      <c r="E1044" s="180">
        <v>10821</v>
      </c>
      <c r="F1044" s="192">
        <v>0</v>
      </c>
    </row>
    <row r="1045" spans="1:6" ht="12">
      <c r="A1045" s="190">
        <v>240314</v>
      </c>
      <c r="B1045" s="171" t="s">
        <v>991</v>
      </c>
      <c r="C1045" s="174" t="s">
        <v>2051</v>
      </c>
      <c r="D1045" s="178" t="s">
        <v>2052</v>
      </c>
      <c r="E1045" s="180">
        <v>28051</v>
      </c>
      <c r="F1045" s="192">
        <v>0</v>
      </c>
    </row>
    <row r="1046" spans="1:6" ht="12">
      <c r="A1046" s="190">
        <v>240314</v>
      </c>
      <c r="B1046" s="171" t="s">
        <v>991</v>
      </c>
      <c r="C1046" s="174" t="s">
        <v>2053</v>
      </c>
      <c r="D1046" s="178" t="s">
        <v>2054</v>
      </c>
      <c r="E1046" s="180">
        <v>11435</v>
      </c>
      <c r="F1046" s="192">
        <v>0</v>
      </c>
    </row>
    <row r="1047" spans="1:6" ht="12">
      <c r="A1047" s="190">
        <v>240314</v>
      </c>
      <c r="B1047" s="171" t="s">
        <v>991</v>
      </c>
      <c r="C1047" s="174" t="s">
        <v>2055</v>
      </c>
      <c r="D1047" s="178" t="s">
        <v>2056</v>
      </c>
      <c r="E1047" s="180">
        <v>22628</v>
      </c>
      <c r="F1047" s="192">
        <v>0</v>
      </c>
    </row>
    <row r="1048" spans="1:6" ht="12">
      <c r="A1048" s="190">
        <v>240314</v>
      </c>
      <c r="B1048" s="171" t="s">
        <v>991</v>
      </c>
      <c r="C1048" s="174" t="s">
        <v>2057</v>
      </c>
      <c r="D1048" s="178" t="s">
        <v>2058</v>
      </c>
      <c r="E1048" s="180">
        <v>29168</v>
      </c>
      <c r="F1048" s="192">
        <v>0</v>
      </c>
    </row>
    <row r="1049" spans="1:6" ht="12">
      <c r="A1049" s="190">
        <v>240314</v>
      </c>
      <c r="B1049" s="171" t="s">
        <v>991</v>
      </c>
      <c r="C1049" s="174" t="s">
        <v>2059</v>
      </c>
      <c r="D1049" s="178" t="s">
        <v>2060</v>
      </c>
      <c r="E1049" s="180">
        <v>4819</v>
      </c>
      <c r="F1049" s="192">
        <v>0</v>
      </c>
    </row>
    <row r="1050" spans="1:6" ht="12">
      <c r="A1050" s="190">
        <v>240314</v>
      </c>
      <c r="B1050" s="171" t="s">
        <v>991</v>
      </c>
      <c r="C1050" s="174" t="s">
        <v>2061</v>
      </c>
      <c r="D1050" s="178" t="s">
        <v>2062</v>
      </c>
      <c r="E1050" s="180">
        <v>10446</v>
      </c>
      <c r="F1050" s="192">
        <v>0</v>
      </c>
    </row>
    <row r="1051" spans="1:6" ht="12">
      <c r="A1051" s="190">
        <v>240314</v>
      </c>
      <c r="B1051" s="171" t="s">
        <v>991</v>
      </c>
      <c r="C1051" s="174" t="s">
        <v>2063</v>
      </c>
      <c r="D1051" s="178" t="s">
        <v>2064</v>
      </c>
      <c r="E1051" s="180">
        <v>38210</v>
      </c>
      <c r="F1051" s="192">
        <v>0</v>
      </c>
    </row>
    <row r="1052" spans="1:6" ht="12">
      <c r="A1052" s="190">
        <v>240314</v>
      </c>
      <c r="B1052" s="171" t="s">
        <v>991</v>
      </c>
      <c r="C1052" s="174" t="s">
        <v>2065</v>
      </c>
      <c r="D1052" s="178" t="s">
        <v>2066</v>
      </c>
      <c r="E1052" s="180">
        <v>11893</v>
      </c>
      <c r="F1052" s="192">
        <v>0</v>
      </c>
    </row>
    <row r="1053" spans="1:6" ht="12">
      <c r="A1053" s="190">
        <v>240314</v>
      </c>
      <c r="B1053" s="171" t="s">
        <v>991</v>
      </c>
      <c r="C1053" s="174">
        <v>214441244</v>
      </c>
      <c r="D1053" s="178" t="s">
        <v>2067</v>
      </c>
      <c r="E1053" s="180">
        <v>4320</v>
      </c>
      <c r="F1053" s="192">
        <v>0</v>
      </c>
    </row>
    <row r="1054" spans="1:6" ht="12">
      <c r="A1054" s="190">
        <v>240314</v>
      </c>
      <c r="B1054" s="171" t="s">
        <v>991</v>
      </c>
      <c r="C1054" s="174" t="s">
        <v>2068</v>
      </c>
      <c r="D1054" s="178" t="s">
        <v>2069</v>
      </c>
      <c r="E1054" s="180">
        <v>77120</v>
      </c>
      <c r="F1054" s="192">
        <v>0</v>
      </c>
    </row>
    <row r="1055" spans="1:6" ht="12">
      <c r="A1055" s="190">
        <v>240314</v>
      </c>
      <c r="B1055" s="171" t="s">
        <v>991</v>
      </c>
      <c r="C1055" s="200" t="s">
        <v>2070</v>
      </c>
      <c r="D1055" s="178" t="s">
        <v>2071</v>
      </c>
      <c r="E1055" s="180">
        <v>36499</v>
      </c>
      <c r="F1055" s="192">
        <v>0</v>
      </c>
    </row>
    <row r="1056" spans="1:6" ht="12">
      <c r="A1056" s="190">
        <v>240314</v>
      </c>
      <c r="B1056" s="171" t="s">
        <v>991</v>
      </c>
      <c r="C1056" s="200" t="s">
        <v>2072</v>
      </c>
      <c r="D1056" s="178" t="s">
        <v>1181</v>
      </c>
      <c r="E1056" s="180">
        <v>22905</v>
      </c>
      <c r="F1056" s="192">
        <v>0</v>
      </c>
    </row>
    <row r="1057" spans="1:6" ht="12">
      <c r="A1057" s="190">
        <v>240314</v>
      </c>
      <c r="B1057" s="171" t="s">
        <v>991</v>
      </c>
      <c r="C1057" s="200" t="s">
        <v>2073</v>
      </c>
      <c r="D1057" s="178" t="s">
        <v>2074</v>
      </c>
      <c r="E1057" s="180">
        <v>8347</v>
      </c>
      <c r="F1057" s="192">
        <v>0</v>
      </c>
    </row>
    <row r="1058" spans="1:6" ht="12">
      <c r="A1058" s="190">
        <v>240314</v>
      </c>
      <c r="B1058" s="171" t="s">
        <v>991</v>
      </c>
      <c r="C1058" s="200" t="s">
        <v>2075</v>
      </c>
      <c r="D1058" s="178" t="s">
        <v>2076</v>
      </c>
      <c r="E1058" s="180">
        <v>15382</v>
      </c>
      <c r="F1058" s="192">
        <v>0</v>
      </c>
    </row>
    <row r="1059" spans="1:6" ht="12">
      <c r="A1059" s="190">
        <v>240314</v>
      </c>
      <c r="B1059" s="171" t="s">
        <v>991</v>
      </c>
      <c r="C1059" s="200" t="s">
        <v>2077</v>
      </c>
      <c r="D1059" s="178" t="s">
        <v>2078</v>
      </c>
      <c r="E1059" s="180">
        <v>26510</v>
      </c>
      <c r="F1059" s="192">
        <v>0</v>
      </c>
    </row>
    <row r="1060" spans="1:6" ht="12">
      <c r="A1060" s="190">
        <v>240314</v>
      </c>
      <c r="B1060" s="171" t="s">
        <v>991</v>
      </c>
      <c r="C1060" s="200" t="s">
        <v>2079</v>
      </c>
      <c r="D1060" s="178" t="s">
        <v>2080</v>
      </c>
      <c r="E1060" s="180">
        <v>16386</v>
      </c>
      <c r="F1060" s="192">
        <v>0</v>
      </c>
    </row>
    <row r="1061" spans="1:6" ht="12">
      <c r="A1061" s="190">
        <v>240314</v>
      </c>
      <c r="B1061" s="171" t="s">
        <v>991</v>
      </c>
      <c r="C1061" s="200" t="s">
        <v>2081</v>
      </c>
      <c r="D1061" s="178" t="s">
        <v>2082</v>
      </c>
      <c r="E1061" s="180">
        <v>63661</v>
      </c>
      <c r="F1061" s="192">
        <v>0</v>
      </c>
    </row>
    <row r="1062" spans="1:6" ht="12">
      <c r="A1062" s="190">
        <v>240314</v>
      </c>
      <c r="B1062" s="171" t="s">
        <v>991</v>
      </c>
      <c r="C1062" s="200">
        <v>218341483</v>
      </c>
      <c r="D1062" s="178" t="s">
        <v>2083</v>
      </c>
      <c r="E1062" s="180">
        <v>9411</v>
      </c>
      <c r="F1062" s="192">
        <v>0</v>
      </c>
    </row>
    <row r="1063" spans="1:6" ht="12">
      <c r="A1063" s="190">
        <v>240314</v>
      </c>
      <c r="B1063" s="171" t="s">
        <v>991</v>
      </c>
      <c r="C1063" s="200" t="s">
        <v>2084</v>
      </c>
      <c r="D1063" s="178" t="s">
        <v>2085</v>
      </c>
      <c r="E1063" s="180">
        <v>12056</v>
      </c>
      <c r="F1063" s="192">
        <v>0</v>
      </c>
    </row>
    <row r="1064" spans="1:6" ht="12">
      <c r="A1064" s="190">
        <v>240314</v>
      </c>
      <c r="B1064" s="171" t="s">
        <v>991</v>
      </c>
      <c r="C1064" s="200" t="s">
        <v>2086</v>
      </c>
      <c r="D1064" s="178" t="s">
        <v>2087</v>
      </c>
      <c r="E1064" s="180">
        <v>6999</v>
      </c>
      <c r="F1064" s="192">
        <v>0</v>
      </c>
    </row>
    <row r="1065" spans="1:6" ht="12">
      <c r="A1065" s="190">
        <v>240314</v>
      </c>
      <c r="B1065" s="171" t="s">
        <v>991</v>
      </c>
      <c r="C1065" s="200" t="s">
        <v>2088</v>
      </c>
      <c r="D1065" s="178" t="s">
        <v>2089</v>
      </c>
      <c r="E1065" s="180">
        <v>29010</v>
      </c>
      <c r="F1065" s="192">
        <v>0</v>
      </c>
    </row>
    <row r="1066" spans="1:6" ht="12">
      <c r="A1066" s="190">
        <v>240314</v>
      </c>
      <c r="B1066" s="171" t="s">
        <v>991</v>
      </c>
      <c r="C1066" s="200" t="s">
        <v>2090</v>
      </c>
      <c r="D1066" s="178" t="s">
        <v>1636</v>
      </c>
      <c r="E1066" s="180">
        <v>13353</v>
      </c>
      <c r="F1066" s="192">
        <v>0</v>
      </c>
    </row>
    <row r="1067" spans="1:6" ht="12">
      <c r="A1067" s="190">
        <v>240314</v>
      </c>
      <c r="B1067" s="171" t="s">
        <v>991</v>
      </c>
      <c r="C1067" s="200">
        <v>214841548</v>
      </c>
      <c r="D1067" s="178" t="s">
        <v>2091</v>
      </c>
      <c r="E1067" s="180">
        <v>16296</v>
      </c>
      <c r="F1067" s="192">
        <v>0</v>
      </c>
    </row>
    <row r="1068" spans="1:6" ht="12">
      <c r="A1068" s="190">
        <v>240314</v>
      </c>
      <c r="B1068" s="171" t="s">
        <v>991</v>
      </c>
      <c r="C1068" s="200" t="s">
        <v>2092</v>
      </c>
      <c r="D1068" s="178" t="s">
        <v>2093</v>
      </c>
      <c r="E1068" s="180">
        <v>126305</v>
      </c>
      <c r="F1068" s="192">
        <v>0</v>
      </c>
    </row>
    <row r="1069" spans="1:6" ht="12">
      <c r="A1069" s="190">
        <v>240314</v>
      </c>
      <c r="B1069" s="171" t="s">
        <v>991</v>
      </c>
      <c r="C1069" s="200" t="s">
        <v>2094</v>
      </c>
      <c r="D1069" s="178" t="s">
        <v>2095</v>
      </c>
      <c r="E1069" s="180">
        <v>22667</v>
      </c>
      <c r="F1069" s="192">
        <v>0</v>
      </c>
    </row>
    <row r="1070" spans="1:6" ht="12">
      <c r="A1070" s="190">
        <v>240314</v>
      </c>
      <c r="B1070" s="171" t="s">
        <v>991</v>
      </c>
      <c r="C1070" s="200" t="s">
        <v>2096</v>
      </c>
      <c r="D1070" s="178" t="s">
        <v>2097</v>
      </c>
      <c r="E1070" s="180">
        <v>11567</v>
      </c>
      <c r="F1070" s="192">
        <v>0</v>
      </c>
    </row>
    <row r="1071" spans="1:6" ht="12">
      <c r="A1071" s="190">
        <v>240314</v>
      </c>
      <c r="B1071" s="171" t="s">
        <v>991</v>
      </c>
      <c r="C1071" s="200" t="s">
        <v>2098</v>
      </c>
      <c r="D1071" s="178" t="s">
        <v>2099</v>
      </c>
      <c r="E1071" s="180">
        <v>34120</v>
      </c>
      <c r="F1071" s="192">
        <v>0</v>
      </c>
    </row>
    <row r="1072" spans="1:6" ht="12">
      <c r="A1072" s="190">
        <v>240314</v>
      </c>
      <c r="B1072" s="171" t="s">
        <v>991</v>
      </c>
      <c r="C1072" s="200" t="s">
        <v>2100</v>
      </c>
      <c r="D1072" s="178" t="s">
        <v>1586</v>
      </c>
      <c r="E1072" s="180">
        <v>12601</v>
      </c>
      <c r="F1072" s="192">
        <v>0</v>
      </c>
    </row>
    <row r="1073" spans="1:6" ht="12">
      <c r="A1073" s="190">
        <v>240314</v>
      </c>
      <c r="B1073" s="171" t="s">
        <v>991</v>
      </c>
      <c r="C1073" s="200" t="s">
        <v>2101</v>
      </c>
      <c r="D1073" s="178" t="s">
        <v>2102</v>
      </c>
      <c r="E1073" s="180">
        <v>18440</v>
      </c>
      <c r="F1073" s="192">
        <v>0</v>
      </c>
    </row>
    <row r="1074" spans="1:6" ht="12">
      <c r="A1074" s="190">
        <v>240314</v>
      </c>
      <c r="B1074" s="171" t="s">
        <v>991</v>
      </c>
      <c r="C1074" s="200">
        <v>219141791</v>
      </c>
      <c r="D1074" s="178" t="s">
        <v>2103</v>
      </c>
      <c r="E1074" s="180">
        <v>21002</v>
      </c>
      <c r="F1074" s="192">
        <v>0</v>
      </c>
    </row>
    <row r="1075" spans="1:6" ht="12">
      <c r="A1075" s="190">
        <v>240314</v>
      </c>
      <c r="B1075" s="171" t="s">
        <v>991</v>
      </c>
      <c r="C1075" s="200" t="s">
        <v>2104</v>
      </c>
      <c r="D1075" s="178" t="s">
        <v>2105</v>
      </c>
      <c r="E1075" s="180">
        <v>11914</v>
      </c>
      <c r="F1075" s="192">
        <v>0</v>
      </c>
    </row>
    <row r="1076" spans="1:6" ht="12">
      <c r="A1076" s="190">
        <v>240314</v>
      </c>
      <c r="B1076" s="171" t="s">
        <v>991</v>
      </c>
      <c r="C1076" s="200" t="s">
        <v>2106</v>
      </c>
      <c r="D1076" s="178" t="s">
        <v>2107</v>
      </c>
      <c r="E1076" s="180">
        <v>18611</v>
      </c>
      <c r="F1076" s="192">
        <v>0</v>
      </c>
    </row>
    <row r="1077" spans="1:6" ht="12">
      <c r="A1077" s="190">
        <v>240314</v>
      </c>
      <c r="B1077" s="171" t="s">
        <v>991</v>
      </c>
      <c r="C1077" s="200" t="s">
        <v>2108</v>
      </c>
      <c r="D1077" s="178" t="s">
        <v>2109</v>
      </c>
      <c r="E1077" s="180">
        <v>10461</v>
      </c>
      <c r="F1077" s="192">
        <v>0</v>
      </c>
    </row>
    <row r="1078" spans="1:6" ht="12">
      <c r="A1078" s="190">
        <v>240314</v>
      </c>
      <c r="B1078" s="171" t="s">
        <v>991</v>
      </c>
      <c r="C1078" s="200" t="s">
        <v>2110</v>
      </c>
      <c r="D1078" s="178" t="s">
        <v>2111</v>
      </c>
      <c r="E1078" s="180">
        <v>24201</v>
      </c>
      <c r="F1078" s="192">
        <v>0</v>
      </c>
    </row>
    <row r="1079" spans="1:6" ht="12">
      <c r="A1079" s="190">
        <v>240314</v>
      </c>
      <c r="B1079" s="171" t="s">
        <v>991</v>
      </c>
      <c r="C1079" s="200" t="s">
        <v>2112</v>
      </c>
      <c r="D1079" s="178" t="s">
        <v>2113</v>
      </c>
      <c r="E1079" s="180">
        <v>9316</v>
      </c>
      <c r="F1079" s="192">
        <v>0</v>
      </c>
    </row>
    <row r="1080" spans="1:6" ht="12">
      <c r="A1080" s="190">
        <v>240314</v>
      </c>
      <c r="B1080" s="171" t="s">
        <v>991</v>
      </c>
      <c r="C1080" s="200" t="s">
        <v>2114</v>
      </c>
      <c r="D1080" s="178" t="s">
        <v>2115</v>
      </c>
      <c r="E1080" s="180">
        <v>10668</v>
      </c>
      <c r="F1080" s="192">
        <v>0</v>
      </c>
    </row>
    <row r="1081" spans="1:6" ht="12">
      <c r="A1081" s="190">
        <v>240314</v>
      </c>
      <c r="B1081" s="171" t="s">
        <v>991</v>
      </c>
      <c r="C1081" s="174" t="s">
        <v>2116</v>
      </c>
      <c r="D1081" s="178" t="s">
        <v>2117</v>
      </c>
      <c r="E1081" s="180">
        <v>168361</v>
      </c>
      <c r="F1081" s="192">
        <v>0</v>
      </c>
    </row>
    <row r="1082" spans="1:6" ht="12">
      <c r="A1082" s="190">
        <v>240314</v>
      </c>
      <c r="B1082" s="171" t="s">
        <v>991</v>
      </c>
      <c r="C1082" s="174" t="s">
        <v>2118</v>
      </c>
      <c r="D1082" s="178" t="s">
        <v>1646</v>
      </c>
      <c r="E1082" s="180">
        <v>15778</v>
      </c>
      <c r="F1082" s="192">
        <v>0</v>
      </c>
    </row>
    <row r="1083" spans="1:6" ht="12">
      <c r="A1083" s="190">
        <v>240314</v>
      </c>
      <c r="B1083" s="171" t="s">
        <v>991</v>
      </c>
      <c r="C1083" s="174" t="s">
        <v>2119</v>
      </c>
      <c r="D1083" s="178" t="s">
        <v>2120</v>
      </c>
      <c r="E1083" s="180">
        <v>32518</v>
      </c>
      <c r="F1083" s="192">
        <v>0</v>
      </c>
    </row>
    <row r="1084" spans="1:6" ht="12">
      <c r="A1084" s="190">
        <v>240314</v>
      </c>
      <c r="B1084" s="171" t="s">
        <v>991</v>
      </c>
      <c r="C1084" s="200" t="s">
        <v>2121</v>
      </c>
      <c r="D1084" s="178" t="s">
        <v>2122</v>
      </c>
      <c r="E1084" s="180">
        <v>32600</v>
      </c>
      <c r="F1084" s="192">
        <v>0</v>
      </c>
    </row>
    <row r="1085" spans="1:6" ht="12">
      <c r="A1085" s="190">
        <v>240314</v>
      </c>
      <c r="B1085" s="171" t="s">
        <v>991</v>
      </c>
      <c r="C1085" s="174" t="s">
        <v>2123</v>
      </c>
      <c r="D1085" s="178" t="s">
        <v>2124</v>
      </c>
      <c r="E1085" s="180">
        <v>9750</v>
      </c>
      <c r="F1085" s="192">
        <v>0</v>
      </c>
    </row>
    <row r="1086" spans="1:6" ht="12">
      <c r="A1086" s="190">
        <v>240314</v>
      </c>
      <c r="B1086" s="171" t="s">
        <v>991</v>
      </c>
      <c r="C1086" s="174" t="s">
        <v>2125</v>
      </c>
      <c r="D1086" s="178" t="s">
        <v>2126</v>
      </c>
      <c r="E1086" s="180">
        <v>8940</v>
      </c>
      <c r="F1086" s="192">
        <v>0</v>
      </c>
    </row>
    <row r="1087" spans="1:6" ht="12">
      <c r="A1087" s="190">
        <v>240314</v>
      </c>
      <c r="B1087" s="171" t="s">
        <v>991</v>
      </c>
      <c r="C1087" s="174" t="s">
        <v>2127</v>
      </c>
      <c r="D1087" s="178" t="s">
        <v>2128</v>
      </c>
      <c r="E1087" s="180">
        <v>43061</v>
      </c>
      <c r="F1087" s="192">
        <v>0</v>
      </c>
    </row>
    <row r="1088" spans="1:6" ht="12">
      <c r="A1088" s="190">
        <v>240314</v>
      </c>
      <c r="B1088" s="171" t="s">
        <v>991</v>
      </c>
      <c r="C1088" s="174" t="s">
        <v>2129</v>
      </c>
      <c r="D1088" s="178" t="s">
        <v>2130</v>
      </c>
      <c r="E1088" s="180">
        <v>14877</v>
      </c>
      <c r="F1088" s="192">
        <v>0</v>
      </c>
    </row>
    <row r="1089" spans="1:6" ht="12">
      <c r="A1089" s="190">
        <v>240314</v>
      </c>
      <c r="B1089" s="171" t="s">
        <v>991</v>
      </c>
      <c r="C1089" s="174" t="s">
        <v>2131</v>
      </c>
      <c r="D1089" s="178" t="s">
        <v>2132</v>
      </c>
      <c r="E1089" s="180">
        <v>3742</v>
      </c>
      <c r="F1089" s="192">
        <v>0</v>
      </c>
    </row>
    <row r="1090" spans="1:6" ht="12">
      <c r="A1090" s="190">
        <v>240314</v>
      </c>
      <c r="B1090" s="171" t="s">
        <v>991</v>
      </c>
      <c r="C1090" s="174" t="s">
        <v>2133</v>
      </c>
      <c r="D1090" s="178" t="s">
        <v>1734</v>
      </c>
      <c r="E1090" s="180">
        <v>103949</v>
      </c>
      <c r="F1090" s="192">
        <v>0</v>
      </c>
    </row>
    <row r="1091" spans="1:6" ht="12">
      <c r="A1091" s="190">
        <v>240314</v>
      </c>
      <c r="B1091" s="171" t="s">
        <v>991</v>
      </c>
      <c r="C1091" s="174" t="s">
        <v>2134</v>
      </c>
      <c r="D1091" s="178" t="s">
        <v>2135</v>
      </c>
      <c r="E1091" s="180">
        <v>48228</v>
      </c>
      <c r="F1091" s="192">
        <v>0</v>
      </c>
    </row>
    <row r="1092" spans="1:6" ht="12">
      <c r="A1092" s="190">
        <v>240314</v>
      </c>
      <c r="B1092" s="171" t="s">
        <v>991</v>
      </c>
      <c r="C1092" s="174" t="s">
        <v>2136</v>
      </c>
      <c r="D1092" s="178" t="s">
        <v>2137</v>
      </c>
      <c r="E1092" s="180">
        <v>120368</v>
      </c>
      <c r="F1092" s="192">
        <v>0</v>
      </c>
    </row>
    <row r="1093" spans="1:6" ht="12">
      <c r="A1093" s="190">
        <v>240314</v>
      </c>
      <c r="B1093" s="171" t="s">
        <v>991</v>
      </c>
      <c r="C1093" s="174" t="s">
        <v>2138</v>
      </c>
      <c r="D1093" s="178" t="s">
        <v>2139</v>
      </c>
      <c r="E1093" s="180">
        <v>11354</v>
      </c>
      <c r="F1093" s="192">
        <v>0</v>
      </c>
    </row>
    <row r="1094" spans="1:6" ht="12">
      <c r="A1094" s="190">
        <v>240314</v>
      </c>
      <c r="B1094" s="171" t="s">
        <v>991</v>
      </c>
      <c r="C1094" s="174" t="s">
        <v>2140</v>
      </c>
      <c r="D1094" s="178" t="s">
        <v>1427</v>
      </c>
      <c r="E1094" s="180">
        <v>26665</v>
      </c>
      <c r="F1094" s="192">
        <v>0</v>
      </c>
    </row>
    <row r="1095" spans="1:6" ht="12">
      <c r="A1095" s="190">
        <v>240314</v>
      </c>
      <c r="B1095" s="171" t="s">
        <v>991</v>
      </c>
      <c r="C1095" s="200" t="s">
        <v>2141</v>
      </c>
      <c r="D1095" s="178" t="s">
        <v>2142</v>
      </c>
      <c r="E1095" s="180">
        <v>19687</v>
      </c>
      <c r="F1095" s="192">
        <v>0</v>
      </c>
    </row>
    <row r="1096" spans="1:6" ht="12">
      <c r="A1096" s="190">
        <v>240314</v>
      </c>
      <c r="B1096" s="171" t="s">
        <v>991</v>
      </c>
      <c r="C1096" s="200" t="s">
        <v>2143</v>
      </c>
      <c r="D1096" s="178" t="s">
        <v>2144</v>
      </c>
      <c r="E1096" s="180">
        <v>50323</v>
      </c>
      <c r="F1096" s="192">
        <v>0</v>
      </c>
    </row>
    <row r="1097" spans="1:6" ht="12">
      <c r="A1097" s="190">
        <v>240314</v>
      </c>
      <c r="B1097" s="171" t="s">
        <v>991</v>
      </c>
      <c r="C1097" s="200" t="s">
        <v>2145</v>
      </c>
      <c r="D1097" s="178" t="s">
        <v>2146</v>
      </c>
      <c r="E1097" s="180">
        <v>53980</v>
      </c>
      <c r="F1097" s="192">
        <v>0</v>
      </c>
    </row>
    <row r="1098" spans="1:6" ht="12">
      <c r="A1098" s="190">
        <v>240314</v>
      </c>
      <c r="B1098" s="171" t="s">
        <v>991</v>
      </c>
      <c r="C1098" s="200" t="s">
        <v>2147</v>
      </c>
      <c r="D1098" s="178" t="s">
        <v>2148</v>
      </c>
      <c r="E1098" s="180">
        <v>14045</v>
      </c>
      <c r="F1098" s="192">
        <v>0</v>
      </c>
    </row>
    <row r="1099" spans="1:6" ht="12">
      <c r="A1099" s="190">
        <v>240314</v>
      </c>
      <c r="B1099" s="171" t="s">
        <v>991</v>
      </c>
      <c r="C1099" s="200" t="s">
        <v>2149</v>
      </c>
      <c r="D1099" s="178" t="s">
        <v>2150</v>
      </c>
      <c r="E1099" s="180">
        <v>29035</v>
      </c>
      <c r="F1099" s="192">
        <v>0</v>
      </c>
    </row>
    <row r="1100" spans="1:6" ht="12">
      <c r="A1100" s="190">
        <v>240314</v>
      </c>
      <c r="B1100" s="171" t="s">
        <v>991</v>
      </c>
      <c r="C1100" s="200" t="s">
        <v>2151</v>
      </c>
      <c r="D1100" s="178" t="s">
        <v>1157</v>
      </c>
      <c r="E1100" s="180">
        <v>17656</v>
      </c>
      <c r="F1100" s="192">
        <v>0</v>
      </c>
    </row>
    <row r="1101" spans="1:6" ht="12">
      <c r="A1101" s="190">
        <v>240314</v>
      </c>
      <c r="B1101" s="171" t="s">
        <v>991</v>
      </c>
      <c r="C1101" s="200">
        <v>214547245</v>
      </c>
      <c r="D1101" s="178" t="s">
        <v>2152</v>
      </c>
      <c r="E1101" s="180">
        <v>117371</v>
      </c>
      <c r="F1101" s="192">
        <v>0</v>
      </c>
    </row>
    <row r="1102" spans="1:6" ht="12">
      <c r="A1102" s="190">
        <v>240314</v>
      </c>
      <c r="B1102" s="171" t="s">
        <v>991</v>
      </c>
      <c r="C1102" s="200">
        <v>215847258</v>
      </c>
      <c r="D1102" s="178" t="s">
        <v>2153</v>
      </c>
      <c r="E1102" s="180">
        <v>23993</v>
      </c>
      <c r="F1102" s="192">
        <v>0</v>
      </c>
    </row>
    <row r="1103" spans="1:6" ht="12">
      <c r="A1103" s="190">
        <v>240314</v>
      </c>
      <c r="B1103" s="171" t="s">
        <v>991</v>
      </c>
      <c r="C1103" s="200">
        <v>216847268</v>
      </c>
      <c r="D1103" s="178" t="s">
        <v>2154</v>
      </c>
      <c r="E1103" s="180">
        <v>33593</v>
      </c>
      <c r="F1103" s="192">
        <v>0</v>
      </c>
    </row>
    <row r="1104" spans="1:6" ht="12">
      <c r="A1104" s="190">
        <v>240314</v>
      </c>
      <c r="B1104" s="171" t="s">
        <v>991</v>
      </c>
      <c r="C1104" s="200">
        <v>218847288</v>
      </c>
      <c r="D1104" s="178" t="s">
        <v>2155</v>
      </c>
      <c r="E1104" s="180">
        <v>82913</v>
      </c>
      <c r="F1104" s="192">
        <v>0</v>
      </c>
    </row>
    <row r="1105" spans="1:6" ht="12">
      <c r="A1105" s="190">
        <v>240314</v>
      </c>
      <c r="B1105" s="171" t="s">
        <v>991</v>
      </c>
      <c r="C1105" s="200">
        <v>211847318</v>
      </c>
      <c r="D1105" s="178" t="s">
        <v>2156</v>
      </c>
      <c r="E1105" s="180">
        <v>53596</v>
      </c>
      <c r="F1105" s="192">
        <v>0</v>
      </c>
    </row>
    <row r="1106" spans="1:6" ht="12">
      <c r="A1106" s="190">
        <v>240314</v>
      </c>
      <c r="B1106" s="171" t="s">
        <v>991</v>
      </c>
      <c r="C1106" s="200">
        <v>216047460</v>
      </c>
      <c r="D1106" s="178" t="s">
        <v>2157</v>
      </c>
      <c r="E1106" s="180">
        <v>34935</v>
      </c>
      <c r="F1106" s="192">
        <v>0</v>
      </c>
    </row>
    <row r="1107" spans="1:6" ht="12">
      <c r="A1107" s="190">
        <v>240314</v>
      </c>
      <c r="B1107" s="171" t="s">
        <v>991</v>
      </c>
      <c r="C1107" s="200">
        <v>214147541</v>
      </c>
      <c r="D1107" s="178" t="s">
        <v>2158</v>
      </c>
      <c r="E1107" s="180">
        <v>16850</v>
      </c>
      <c r="F1107" s="192">
        <v>0</v>
      </c>
    </row>
    <row r="1108" spans="1:6" ht="12">
      <c r="A1108" s="190">
        <v>240314</v>
      </c>
      <c r="B1108" s="171" t="s">
        <v>991</v>
      </c>
      <c r="C1108" s="200">
        <v>214547545</v>
      </c>
      <c r="D1108" s="178" t="s">
        <v>2159</v>
      </c>
      <c r="E1108" s="180">
        <v>31187</v>
      </c>
      <c r="F1108" s="192">
        <v>0</v>
      </c>
    </row>
    <row r="1109" spans="1:6" ht="12">
      <c r="A1109" s="190">
        <v>240314</v>
      </c>
      <c r="B1109" s="171" t="s">
        <v>991</v>
      </c>
      <c r="C1109" s="200">
        <v>215147551</v>
      </c>
      <c r="D1109" s="178" t="s">
        <v>2160</v>
      </c>
      <c r="E1109" s="180">
        <v>65342</v>
      </c>
      <c r="F1109" s="192">
        <v>0</v>
      </c>
    </row>
    <row r="1110" spans="1:6" ht="12">
      <c r="A1110" s="190">
        <v>240314</v>
      </c>
      <c r="B1110" s="171" t="s">
        <v>991</v>
      </c>
      <c r="C1110" s="200">
        <v>215547555</v>
      </c>
      <c r="D1110" s="178" t="s">
        <v>2161</v>
      </c>
      <c r="E1110" s="180">
        <v>101779</v>
      </c>
      <c r="F1110" s="192">
        <v>0</v>
      </c>
    </row>
    <row r="1111" spans="1:6" ht="12">
      <c r="A1111" s="190">
        <v>240314</v>
      </c>
      <c r="B1111" s="171" t="s">
        <v>991</v>
      </c>
      <c r="C1111" s="200">
        <v>217047570</v>
      </c>
      <c r="D1111" s="178" t="s">
        <v>2162</v>
      </c>
      <c r="E1111" s="180">
        <v>39494</v>
      </c>
      <c r="F1111" s="192">
        <v>0</v>
      </c>
    </row>
    <row r="1112" spans="1:6" ht="12">
      <c r="A1112" s="190">
        <v>240314</v>
      </c>
      <c r="B1112" s="171" t="s">
        <v>991</v>
      </c>
      <c r="C1112" s="200">
        <v>210547605</v>
      </c>
      <c r="D1112" s="178" t="s">
        <v>2163</v>
      </c>
      <c r="E1112" s="180">
        <v>14948</v>
      </c>
      <c r="F1112" s="192">
        <v>0</v>
      </c>
    </row>
    <row r="1113" spans="1:6" ht="12">
      <c r="A1113" s="190">
        <v>240314</v>
      </c>
      <c r="B1113" s="171" t="s">
        <v>991</v>
      </c>
      <c r="C1113" s="200">
        <v>216047660</v>
      </c>
      <c r="D1113" s="178" t="s">
        <v>2164</v>
      </c>
      <c r="E1113" s="180">
        <v>22603</v>
      </c>
      <c r="F1113" s="192">
        <v>0</v>
      </c>
    </row>
    <row r="1114" spans="1:6" ht="12">
      <c r="A1114" s="190">
        <v>240314</v>
      </c>
      <c r="B1114" s="171" t="s">
        <v>991</v>
      </c>
      <c r="C1114" s="200">
        <v>217547675</v>
      </c>
      <c r="D1114" s="178" t="s">
        <v>1639</v>
      </c>
      <c r="E1114" s="180">
        <v>19345</v>
      </c>
      <c r="F1114" s="192">
        <v>0</v>
      </c>
    </row>
    <row r="1115" spans="1:6" ht="12">
      <c r="A1115" s="190">
        <v>240314</v>
      </c>
      <c r="B1115" s="171" t="s">
        <v>991</v>
      </c>
      <c r="C1115" s="200">
        <v>219247692</v>
      </c>
      <c r="D1115" s="178" t="s">
        <v>1696</v>
      </c>
      <c r="E1115" s="180">
        <v>41993</v>
      </c>
      <c r="F1115" s="192">
        <v>0</v>
      </c>
    </row>
    <row r="1116" spans="1:6" ht="12">
      <c r="A1116" s="190">
        <v>240314</v>
      </c>
      <c r="B1116" s="171" t="s">
        <v>991</v>
      </c>
      <c r="C1116" s="200">
        <v>210347703</v>
      </c>
      <c r="D1116" s="178" t="s">
        <v>2165</v>
      </c>
      <c r="E1116" s="180">
        <v>22478</v>
      </c>
      <c r="F1116" s="192">
        <v>0</v>
      </c>
    </row>
    <row r="1117" spans="1:6" ht="12">
      <c r="A1117" s="190">
        <v>240314</v>
      </c>
      <c r="B1117" s="171" t="s">
        <v>991</v>
      </c>
      <c r="C1117" s="200">
        <v>210747707</v>
      </c>
      <c r="D1117" s="178" t="s">
        <v>2166</v>
      </c>
      <c r="E1117" s="180">
        <v>42659</v>
      </c>
      <c r="F1117" s="192">
        <v>0</v>
      </c>
    </row>
    <row r="1118" spans="1:6" ht="12">
      <c r="A1118" s="190">
        <v>240314</v>
      </c>
      <c r="B1118" s="171" t="s">
        <v>991</v>
      </c>
      <c r="C1118" s="200">
        <v>212047720</v>
      </c>
      <c r="D1118" s="178" t="s">
        <v>2167</v>
      </c>
      <c r="E1118" s="180">
        <v>21319</v>
      </c>
      <c r="F1118" s="192">
        <v>0</v>
      </c>
    </row>
    <row r="1119" spans="1:6" ht="12">
      <c r="A1119" s="190">
        <v>240314</v>
      </c>
      <c r="B1119" s="171" t="s">
        <v>991</v>
      </c>
      <c r="C1119" s="200">
        <v>214547745</v>
      </c>
      <c r="D1119" s="178" t="s">
        <v>2168</v>
      </c>
      <c r="E1119" s="180">
        <v>42960</v>
      </c>
      <c r="F1119" s="192">
        <v>0</v>
      </c>
    </row>
    <row r="1120" spans="1:6" ht="12">
      <c r="A1120" s="190">
        <v>240314</v>
      </c>
      <c r="B1120" s="171" t="s">
        <v>991</v>
      </c>
      <c r="C1120" s="200">
        <v>219847798</v>
      </c>
      <c r="D1120" s="178" t="s">
        <v>2169</v>
      </c>
      <c r="E1120" s="180">
        <v>31868</v>
      </c>
      <c r="F1120" s="192">
        <v>0</v>
      </c>
    </row>
    <row r="1121" spans="1:6" ht="12">
      <c r="A1121" s="190">
        <v>240314</v>
      </c>
      <c r="B1121" s="171" t="s">
        <v>991</v>
      </c>
      <c r="C1121" s="200">
        <v>216047960</v>
      </c>
      <c r="D1121" s="178" t="s">
        <v>2170</v>
      </c>
      <c r="E1121" s="180">
        <v>15689</v>
      </c>
      <c r="F1121" s="192">
        <v>0</v>
      </c>
    </row>
    <row r="1122" spans="1:6" ht="12">
      <c r="A1122" s="190">
        <v>240314</v>
      </c>
      <c r="B1122" s="171" t="s">
        <v>991</v>
      </c>
      <c r="C1122" s="200">
        <v>218047980</v>
      </c>
      <c r="D1122" s="178" t="s">
        <v>2171</v>
      </c>
      <c r="E1122" s="180">
        <v>105112</v>
      </c>
      <c r="F1122" s="192">
        <v>0</v>
      </c>
    </row>
    <row r="1123" spans="1:6" ht="12">
      <c r="A1123" s="190">
        <v>240314</v>
      </c>
      <c r="B1123" s="171" t="s">
        <v>991</v>
      </c>
      <c r="C1123" s="200">
        <v>210650006</v>
      </c>
      <c r="D1123" s="178" t="s">
        <v>2172</v>
      </c>
      <c r="E1123" s="180">
        <v>77244</v>
      </c>
      <c r="F1123" s="192">
        <v>0</v>
      </c>
    </row>
    <row r="1124" spans="1:6" ht="12">
      <c r="A1124" s="190">
        <v>240314</v>
      </c>
      <c r="B1124" s="171" t="s">
        <v>991</v>
      </c>
      <c r="C1124" s="200">
        <v>211050110</v>
      </c>
      <c r="D1124" s="178" t="s">
        <v>2173</v>
      </c>
      <c r="E1124" s="180">
        <v>4310</v>
      </c>
      <c r="F1124" s="192">
        <v>0</v>
      </c>
    </row>
    <row r="1125" spans="1:6" ht="12">
      <c r="A1125" s="190">
        <v>240314</v>
      </c>
      <c r="B1125" s="171" t="s">
        <v>991</v>
      </c>
      <c r="C1125" s="200">
        <v>212450124</v>
      </c>
      <c r="D1125" s="178" t="s">
        <v>2174</v>
      </c>
      <c r="E1125" s="180">
        <v>4813</v>
      </c>
      <c r="F1125" s="192">
        <v>0</v>
      </c>
    </row>
    <row r="1126" spans="1:6" ht="12">
      <c r="A1126" s="190">
        <v>240314</v>
      </c>
      <c r="B1126" s="171" t="s">
        <v>991</v>
      </c>
      <c r="C1126" s="200">
        <v>215050150</v>
      </c>
      <c r="D1126" s="178" t="s">
        <v>2175</v>
      </c>
      <c r="E1126" s="180">
        <v>9689</v>
      </c>
      <c r="F1126" s="192">
        <v>0</v>
      </c>
    </row>
    <row r="1127" spans="1:6" ht="12">
      <c r="A1127" s="190">
        <v>240314</v>
      </c>
      <c r="B1127" s="171" t="s">
        <v>991</v>
      </c>
      <c r="C1127" s="200">
        <v>212350223</v>
      </c>
      <c r="D1127" s="178" t="s">
        <v>2176</v>
      </c>
      <c r="E1127" s="180">
        <v>5940</v>
      </c>
      <c r="F1127" s="192">
        <v>0</v>
      </c>
    </row>
    <row r="1128" spans="1:6" ht="12">
      <c r="A1128" s="190">
        <v>240314</v>
      </c>
      <c r="B1128" s="171" t="s">
        <v>991</v>
      </c>
      <c r="C1128" s="200">
        <v>212650226</v>
      </c>
      <c r="D1128" s="178" t="s">
        <v>2177</v>
      </c>
      <c r="E1128" s="180">
        <v>22339</v>
      </c>
      <c r="F1128" s="192">
        <v>0</v>
      </c>
    </row>
    <row r="1129" spans="1:6" ht="12">
      <c r="A1129" s="190">
        <v>240314</v>
      </c>
      <c r="B1129" s="171" t="s">
        <v>991</v>
      </c>
      <c r="C1129" s="200">
        <v>214550245</v>
      </c>
      <c r="D1129" s="178" t="s">
        <v>2178</v>
      </c>
      <c r="E1129" s="180">
        <v>3663</v>
      </c>
      <c r="F1129" s="192">
        <v>0</v>
      </c>
    </row>
    <row r="1130" spans="1:6" ht="12">
      <c r="A1130" s="190">
        <v>240314</v>
      </c>
      <c r="B1130" s="171" t="s">
        <v>991</v>
      </c>
      <c r="C1130" s="200">
        <v>215150251</v>
      </c>
      <c r="D1130" s="178" t="s">
        <v>2179</v>
      </c>
      <c r="E1130" s="180">
        <v>7535</v>
      </c>
      <c r="F1130" s="192">
        <v>0</v>
      </c>
    </row>
    <row r="1131" spans="1:6" ht="12">
      <c r="A1131" s="190">
        <v>240314</v>
      </c>
      <c r="B1131" s="171" t="s">
        <v>991</v>
      </c>
      <c r="C1131" s="200">
        <v>217050270</v>
      </c>
      <c r="D1131" s="178" t="s">
        <v>2180</v>
      </c>
      <c r="E1131" s="180">
        <v>4824</v>
      </c>
      <c r="F1131" s="192">
        <v>0</v>
      </c>
    </row>
    <row r="1132" spans="1:6" ht="12">
      <c r="A1132" s="190">
        <v>240314</v>
      </c>
      <c r="B1132" s="171" t="s">
        <v>991</v>
      </c>
      <c r="C1132" s="200">
        <v>218750287</v>
      </c>
      <c r="D1132" s="178" t="s">
        <v>2181</v>
      </c>
      <c r="E1132" s="180">
        <v>12192</v>
      </c>
      <c r="F1132" s="192">
        <v>0</v>
      </c>
    </row>
    <row r="1133" spans="1:6" ht="12">
      <c r="A1133" s="190">
        <v>240314</v>
      </c>
      <c r="B1133" s="171" t="s">
        <v>991</v>
      </c>
      <c r="C1133" s="200">
        <v>211350313</v>
      </c>
      <c r="D1133" s="178" t="s">
        <v>1179</v>
      </c>
      <c r="E1133" s="180">
        <v>64085</v>
      </c>
      <c r="F1133" s="192">
        <v>0</v>
      </c>
    </row>
    <row r="1134" spans="1:6" ht="12">
      <c r="A1134" s="190">
        <v>240314</v>
      </c>
      <c r="B1134" s="171" t="s">
        <v>991</v>
      </c>
      <c r="C1134" s="200">
        <v>211850318</v>
      </c>
      <c r="D1134" s="178" t="s">
        <v>2156</v>
      </c>
      <c r="E1134" s="180">
        <v>12635</v>
      </c>
      <c r="F1134" s="192">
        <v>0</v>
      </c>
    </row>
    <row r="1135" spans="1:6" ht="12">
      <c r="A1135" s="190">
        <v>240314</v>
      </c>
      <c r="B1135" s="171" t="s">
        <v>991</v>
      </c>
      <c r="C1135" s="200">
        <v>212550325</v>
      </c>
      <c r="D1135" s="178" t="s">
        <v>2182</v>
      </c>
      <c r="E1135" s="180">
        <v>11790</v>
      </c>
      <c r="F1135" s="192">
        <v>0</v>
      </c>
    </row>
    <row r="1136" spans="1:6" ht="12">
      <c r="A1136" s="190">
        <v>240314</v>
      </c>
      <c r="B1136" s="171" t="s">
        <v>991</v>
      </c>
      <c r="C1136" s="200">
        <v>213050330</v>
      </c>
      <c r="D1136" s="178" t="s">
        <v>2183</v>
      </c>
      <c r="E1136" s="180">
        <v>14469</v>
      </c>
      <c r="F1136" s="192">
        <v>0</v>
      </c>
    </row>
    <row r="1137" spans="1:6" ht="12">
      <c r="A1137" s="190">
        <v>240314</v>
      </c>
      <c r="B1137" s="171" t="s">
        <v>991</v>
      </c>
      <c r="C1137" s="200">
        <v>215050350</v>
      </c>
      <c r="D1137" s="178" t="s">
        <v>2184</v>
      </c>
      <c r="E1137" s="180">
        <v>28053</v>
      </c>
      <c r="F1137" s="192">
        <v>0</v>
      </c>
    </row>
    <row r="1138" spans="1:6" ht="12">
      <c r="A1138" s="190">
        <v>240314</v>
      </c>
      <c r="B1138" s="171" t="s">
        <v>991</v>
      </c>
      <c r="C1138" s="200">
        <v>217050370</v>
      </c>
      <c r="D1138" s="178" t="s">
        <v>2185</v>
      </c>
      <c r="E1138" s="180">
        <v>13026</v>
      </c>
      <c r="F1138" s="192">
        <v>0</v>
      </c>
    </row>
    <row r="1139" spans="1:6" ht="12">
      <c r="A1139" s="190">
        <v>240314</v>
      </c>
      <c r="B1139" s="171" t="s">
        <v>991</v>
      </c>
      <c r="C1139" s="200">
        <v>210050400</v>
      </c>
      <c r="D1139" s="178" t="s">
        <v>2186</v>
      </c>
      <c r="E1139" s="180">
        <v>11890</v>
      </c>
      <c r="F1139" s="192">
        <v>0</v>
      </c>
    </row>
    <row r="1140" spans="1:6" ht="12">
      <c r="A1140" s="190">
        <v>240314</v>
      </c>
      <c r="B1140" s="171" t="s">
        <v>991</v>
      </c>
      <c r="C1140" s="200">
        <v>215050450</v>
      </c>
      <c r="D1140" s="178" t="s">
        <v>2187</v>
      </c>
      <c r="E1140" s="180">
        <v>15357</v>
      </c>
      <c r="F1140" s="192">
        <v>0</v>
      </c>
    </row>
    <row r="1141" spans="1:6" ht="12">
      <c r="A1141" s="190">
        <v>240314</v>
      </c>
      <c r="B1141" s="171" t="s">
        <v>991</v>
      </c>
      <c r="C1141" s="200">
        <v>216850568</v>
      </c>
      <c r="D1141" s="178" t="s">
        <v>2188</v>
      </c>
      <c r="E1141" s="180">
        <v>25263</v>
      </c>
      <c r="F1141" s="192">
        <v>0</v>
      </c>
    </row>
    <row r="1142" spans="1:6" ht="12">
      <c r="A1142" s="190">
        <v>240314</v>
      </c>
      <c r="B1142" s="171" t="s">
        <v>991</v>
      </c>
      <c r="C1142" s="200">
        <v>217350573</v>
      </c>
      <c r="D1142" s="178" t="s">
        <v>2189</v>
      </c>
      <c r="E1142" s="180">
        <v>34668</v>
      </c>
      <c r="F1142" s="192">
        <v>0</v>
      </c>
    </row>
    <row r="1143" spans="1:6" ht="12">
      <c r="A1143" s="190">
        <v>240314</v>
      </c>
      <c r="B1143" s="171" t="s">
        <v>991</v>
      </c>
      <c r="C1143" s="200">
        <v>217750577</v>
      </c>
      <c r="D1143" s="178" t="s">
        <v>2190</v>
      </c>
      <c r="E1143" s="180">
        <v>12012</v>
      </c>
      <c r="F1143" s="192">
        <v>0</v>
      </c>
    </row>
    <row r="1144" spans="1:6" ht="12">
      <c r="A1144" s="190">
        <v>240314</v>
      </c>
      <c r="B1144" s="171" t="s">
        <v>991</v>
      </c>
      <c r="C1144" s="200">
        <v>219050590</v>
      </c>
      <c r="D1144" s="178" t="s">
        <v>1662</v>
      </c>
      <c r="E1144" s="180">
        <v>21223</v>
      </c>
      <c r="F1144" s="192">
        <v>0</v>
      </c>
    </row>
    <row r="1145" spans="1:6" ht="12">
      <c r="A1145" s="190">
        <v>240314</v>
      </c>
      <c r="B1145" s="171" t="s">
        <v>991</v>
      </c>
      <c r="C1145" s="200">
        <v>210650606</v>
      </c>
      <c r="D1145" s="178" t="s">
        <v>2191</v>
      </c>
      <c r="E1145" s="180">
        <v>14967</v>
      </c>
      <c r="F1145" s="192">
        <v>0</v>
      </c>
    </row>
    <row r="1146" spans="1:6" ht="12">
      <c r="A1146" s="190">
        <v>240314</v>
      </c>
      <c r="B1146" s="171" t="s">
        <v>991</v>
      </c>
      <c r="C1146" s="200">
        <v>218050680</v>
      </c>
      <c r="D1146" s="178" t="s">
        <v>2192</v>
      </c>
      <c r="E1146" s="180">
        <v>11364</v>
      </c>
      <c r="F1146" s="192">
        <v>0</v>
      </c>
    </row>
    <row r="1147" spans="1:6" ht="12">
      <c r="A1147" s="190">
        <v>240314</v>
      </c>
      <c r="B1147" s="171" t="s">
        <v>991</v>
      </c>
      <c r="C1147" s="200">
        <v>218350683</v>
      </c>
      <c r="D1147" s="178" t="s">
        <v>2193</v>
      </c>
      <c r="E1147" s="180">
        <v>10241</v>
      </c>
      <c r="F1147" s="192">
        <v>0</v>
      </c>
    </row>
    <row r="1148" spans="1:6" ht="12">
      <c r="A1148" s="190">
        <v>240314</v>
      </c>
      <c r="B1148" s="171" t="s">
        <v>991</v>
      </c>
      <c r="C1148" s="200">
        <v>218650686</v>
      </c>
      <c r="D1148" s="178" t="s">
        <v>2194</v>
      </c>
      <c r="E1148" s="180">
        <v>1958</v>
      </c>
      <c r="F1148" s="192">
        <v>0</v>
      </c>
    </row>
    <row r="1149" spans="1:6" ht="12">
      <c r="A1149" s="190">
        <v>240314</v>
      </c>
      <c r="B1149" s="171" t="s">
        <v>991</v>
      </c>
      <c r="C1149" s="200">
        <v>218950689</v>
      </c>
      <c r="D1149" s="178" t="s">
        <v>1750</v>
      </c>
      <c r="E1149" s="180">
        <v>25820</v>
      </c>
      <c r="F1149" s="192">
        <v>0</v>
      </c>
    </row>
    <row r="1150" spans="1:6" ht="12">
      <c r="A1150" s="190">
        <v>240314</v>
      </c>
      <c r="B1150" s="171" t="s">
        <v>991</v>
      </c>
      <c r="C1150" s="200">
        <v>211150711</v>
      </c>
      <c r="D1150" s="178" t="s">
        <v>2195</v>
      </c>
      <c r="E1150" s="180">
        <v>34227</v>
      </c>
      <c r="F1150" s="192">
        <v>0</v>
      </c>
    </row>
    <row r="1151" spans="1:6" ht="12">
      <c r="A1151" s="190">
        <v>240314</v>
      </c>
      <c r="B1151" s="171" t="s">
        <v>991</v>
      </c>
      <c r="C1151" s="200">
        <v>211952019</v>
      </c>
      <c r="D1151" s="178" t="s">
        <v>1798</v>
      </c>
      <c r="E1151" s="180">
        <v>14575</v>
      </c>
      <c r="F1151" s="192">
        <v>0</v>
      </c>
    </row>
    <row r="1152" spans="1:6" ht="12">
      <c r="A1152" s="190">
        <v>240314</v>
      </c>
      <c r="B1152" s="171" t="s">
        <v>991</v>
      </c>
      <c r="C1152" s="200">
        <v>212252022</v>
      </c>
      <c r="D1152" s="178" t="s">
        <v>2196</v>
      </c>
      <c r="E1152" s="180">
        <v>8210</v>
      </c>
      <c r="F1152" s="192">
        <v>0</v>
      </c>
    </row>
    <row r="1153" spans="1:6" ht="12">
      <c r="A1153" s="190">
        <v>240314</v>
      </c>
      <c r="B1153" s="171" t="s">
        <v>991</v>
      </c>
      <c r="C1153" s="200">
        <v>213652036</v>
      </c>
      <c r="D1153" s="178" t="s">
        <v>2197</v>
      </c>
      <c r="E1153" s="180">
        <v>11639</v>
      </c>
      <c r="F1153" s="192">
        <v>0</v>
      </c>
    </row>
    <row r="1154" spans="1:6" ht="12">
      <c r="A1154" s="190">
        <v>240314</v>
      </c>
      <c r="B1154" s="171" t="s">
        <v>991</v>
      </c>
      <c r="C1154" s="200">
        <v>215152051</v>
      </c>
      <c r="D1154" s="178" t="s">
        <v>2198</v>
      </c>
      <c r="E1154" s="180">
        <v>10994</v>
      </c>
      <c r="F1154" s="192">
        <v>0</v>
      </c>
    </row>
    <row r="1155" spans="1:6" ht="12">
      <c r="A1155" s="190">
        <v>240314</v>
      </c>
      <c r="B1155" s="171" t="s">
        <v>991</v>
      </c>
      <c r="C1155" s="200">
        <v>217952079</v>
      </c>
      <c r="D1155" s="178" t="s">
        <v>2199</v>
      </c>
      <c r="E1155" s="180">
        <v>81803</v>
      </c>
      <c r="F1155" s="192">
        <v>0</v>
      </c>
    </row>
    <row r="1156" spans="1:6" ht="12">
      <c r="A1156" s="190">
        <v>240314</v>
      </c>
      <c r="B1156" s="171" t="s">
        <v>991</v>
      </c>
      <c r="C1156" s="200">
        <v>218352083</v>
      </c>
      <c r="D1156" s="178" t="s">
        <v>1437</v>
      </c>
      <c r="E1156" s="180">
        <v>9553</v>
      </c>
      <c r="F1156" s="192">
        <v>0</v>
      </c>
    </row>
    <row r="1157" spans="1:6" ht="12">
      <c r="A1157" s="190">
        <v>240314</v>
      </c>
      <c r="B1157" s="171" t="s">
        <v>991</v>
      </c>
      <c r="C1157" s="200">
        <v>211052110</v>
      </c>
      <c r="D1157" s="178" t="s">
        <v>2200</v>
      </c>
      <c r="E1157" s="180">
        <v>26565</v>
      </c>
      <c r="F1157" s="192">
        <v>0</v>
      </c>
    </row>
    <row r="1158" spans="1:6" ht="12">
      <c r="A1158" s="190">
        <v>240314</v>
      </c>
      <c r="B1158" s="171" t="s">
        <v>991</v>
      </c>
      <c r="C1158" s="200">
        <v>210352203</v>
      </c>
      <c r="D1158" s="178" t="s">
        <v>2201</v>
      </c>
      <c r="E1158" s="180">
        <v>12670</v>
      </c>
      <c r="F1158" s="192">
        <v>0</v>
      </c>
    </row>
    <row r="1159" spans="1:6" ht="12">
      <c r="A1159" s="190">
        <v>240314</v>
      </c>
      <c r="B1159" s="171" t="s">
        <v>991</v>
      </c>
      <c r="C1159" s="200">
        <v>210752207</v>
      </c>
      <c r="D1159" s="178" t="s">
        <v>2202</v>
      </c>
      <c r="E1159" s="180">
        <v>11405</v>
      </c>
      <c r="F1159" s="192">
        <v>0</v>
      </c>
    </row>
    <row r="1160" spans="1:6" ht="12">
      <c r="A1160" s="190">
        <v>240314</v>
      </c>
      <c r="B1160" s="171" t="s">
        <v>991</v>
      </c>
      <c r="C1160" s="200">
        <v>211052210</v>
      </c>
      <c r="D1160" s="178" t="s">
        <v>2203</v>
      </c>
      <c r="E1160" s="180">
        <v>7524</v>
      </c>
      <c r="F1160" s="192">
        <v>0</v>
      </c>
    </row>
    <row r="1161" spans="1:6" ht="12">
      <c r="A1161" s="190">
        <v>240314</v>
      </c>
      <c r="B1161" s="171" t="s">
        <v>991</v>
      </c>
      <c r="C1161" s="200">
        <v>211552215</v>
      </c>
      <c r="D1161" s="178" t="s">
        <v>1001</v>
      </c>
      <c r="E1161" s="180">
        <v>21397</v>
      </c>
      <c r="F1161" s="192">
        <v>0</v>
      </c>
    </row>
    <row r="1162" spans="1:6" ht="12">
      <c r="A1162" s="190">
        <v>240314</v>
      </c>
      <c r="B1162" s="171" t="s">
        <v>991</v>
      </c>
      <c r="C1162" s="200">
        <v>212452224</v>
      </c>
      <c r="D1162" s="178" t="s">
        <v>2204</v>
      </c>
      <c r="E1162" s="180">
        <v>9387</v>
      </c>
      <c r="F1162" s="192">
        <v>0</v>
      </c>
    </row>
    <row r="1163" spans="1:6" ht="12">
      <c r="A1163" s="190">
        <v>240314</v>
      </c>
      <c r="B1163" s="171" t="s">
        <v>991</v>
      </c>
      <c r="C1163" s="200">
        <v>212752227</v>
      </c>
      <c r="D1163" s="178" t="s">
        <v>2205</v>
      </c>
      <c r="E1163" s="180">
        <v>48267</v>
      </c>
      <c r="F1163" s="192">
        <v>0</v>
      </c>
    </row>
    <row r="1164" spans="1:6" ht="12">
      <c r="A1164" s="190">
        <v>240314</v>
      </c>
      <c r="B1164" s="171" t="s">
        <v>991</v>
      </c>
      <c r="C1164" s="200">
        <v>213352233</v>
      </c>
      <c r="D1164" s="178" t="s">
        <v>2206</v>
      </c>
      <c r="E1164" s="180">
        <v>11511</v>
      </c>
      <c r="F1164" s="192">
        <v>0</v>
      </c>
    </row>
    <row r="1165" spans="1:6" ht="12">
      <c r="A1165" s="190">
        <v>240314</v>
      </c>
      <c r="B1165" s="171" t="s">
        <v>991</v>
      </c>
      <c r="C1165" s="200">
        <v>214052240</v>
      </c>
      <c r="D1165" s="178" t="s">
        <v>2207</v>
      </c>
      <c r="E1165" s="180">
        <v>13781</v>
      </c>
      <c r="F1165" s="192">
        <v>0</v>
      </c>
    </row>
    <row r="1166" spans="1:6" ht="12">
      <c r="A1166" s="190">
        <v>240314</v>
      </c>
      <c r="B1166" s="171" t="s">
        <v>991</v>
      </c>
      <c r="C1166" s="200">
        <v>215052250</v>
      </c>
      <c r="D1166" s="178" t="s">
        <v>2208</v>
      </c>
      <c r="E1166" s="180">
        <v>57612</v>
      </c>
      <c r="F1166" s="192">
        <v>0</v>
      </c>
    </row>
    <row r="1167" spans="1:6" ht="12">
      <c r="A1167" s="190">
        <v>240314</v>
      </c>
      <c r="B1167" s="171" t="s">
        <v>991</v>
      </c>
      <c r="C1167" s="200">
        <v>215452254</v>
      </c>
      <c r="D1167" s="178" t="s">
        <v>2209</v>
      </c>
      <c r="E1167" s="180">
        <v>8543</v>
      </c>
      <c r="F1167" s="192">
        <v>0</v>
      </c>
    </row>
    <row r="1168" spans="1:6" ht="12">
      <c r="A1168" s="190">
        <v>240314</v>
      </c>
      <c r="B1168" s="171" t="s">
        <v>991</v>
      </c>
      <c r="C1168" s="200">
        <v>215652256</v>
      </c>
      <c r="D1168" s="178" t="s">
        <v>2210</v>
      </c>
      <c r="E1168" s="180">
        <v>16602</v>
      </c>
      <c r="F1168" s="192">
        <v>0</v>
      </c>
    </row>
    <row r="1169" spans="1:6" ht="12">
      <c r="A1169" s="190">
        <v>240314</v>
      </c>
      <c r="B1169" s="171" t="s">
        <v>991</v>
      </c>
      <c r="C1169" s="200">
        <v>215852258</v>
      </c>
      <c r="D1169" s="178" t="s">
        <v>2211</v>
      </c>
      <c r="E1169" s="180">
        <v>21538</v>
      </c>
      <c r="F1169" s="192">
        <v>0</v>
      </c>
    </row>
    <row r="1170" spans="1:6" ht="12">
      <c r="A1170" s="190">
        <v>240314</v>
      </c>
      <c r="B1170" s="171" t="s">
        <v>991</v>
      </c>
      <c r="C1170" s="200">
        <v>216052260</v>
      </c>
      <c r="D1170" s="178" t="s">
        <v>1680</v>
      </c>
      <c r="E1170" s="180">
        <v>19933</v>
      </c>
      <c r="F1170" s="192">
        <v>0</v>
      </c>
    </row>
    <row r="1171" spans="1:6" ht="12">
      <c r="A1171" s="190">
        <v>240314</v>
      </c>
      <c r="B1171" s="171" t="s">
        <v>991</v>
      </c>
      <c r="C1171" s="200">
        <v>218752287</v>
      </c>
      <c r="D1171" s="178" t="s">
        <v>2212</v>
      </c>
      <c r="E1171" s="180">
        <v>6550</v>
      </c>
      <c r="F1171" s="192">
        <v>0</v>
      </c>
    </row>
    <row r="1172" spans="1:6" ht="12">
      <c r="A1172" s="190">
        <v>240314</v>
      </c>
      <c r="B1172" s="171" t="s">
        <v>991</v>
      </c>
      <c r="C1172" s="200">
        <v>211752317</v>
      </c>
      <c r="D1172" s="178" t="s">
        <v>2213</v>
      </c>
      <c r="E1172" s="180">
        <v>24895</v>
      </c>
      <c r="F1172" s="192">
        <v>0</v>
      </c>
    </row>
    <row r="1173" spans="1:6" ht="12">
      <c r="A1173" s="190">
        <v>240314</v>
      </c>
      <c r="B1173" s="171" t="s">
        <v>991</v>
      </c>
      <c r="C1173" s="200">
        <v>212052320</v>
      </c>
      <c r="D1173" s="178" t="s">
        <v>2214</v>
      </c>
      <c r="E1173" s="180">
        <v>18911</v>
      </c>
      <c r="F1173" s="192">
        <v>0</v>
      </c>
    </row>
    <row r="1174" spans="1:6" ht="12">
      <c r="A1174" s="190">
        <v>240314</v>
      </c>
      <c r="B1174" s="171" t="s">
        <v>991</v>
      </c>
      <c r="C1174" s="200">
        <v>212352323</v>
      </c>
      <c r="D1174" s="178" t="s">
        <v>2215</v>
      </c>
      <c r="E1174" s="180">
        <v>7796</v>
      </c>
      <c r="F1174" s="192">
        <v>0</v>
      </c>
    </row>
    <row r="1175" spans="1:6" ht="12">
      <c r="A1175" s="190">
        <v>240314</v>
      </c>
      <c r="B1175" s="171" t="s">
        <v>991</v>
      </c>
      <c r="C1175" s="200">
        <v>215252352</v>
      </c>
      <c r="D1175" s="178" t="s">
        <v>2216</v>
      </c>
      <c r="E1175" s="180">
        <v>9245</v>
      </c>
      <c r="F1175" s="192">
        <v>0</v>
      </c>
    </row>
    <row r="1176" spans="1:6" ht="12">
      <c r="A1176" s="190">
        <v>240314</v>
      </c>
      <c r="B1176" s="171" t="s">
        <v>991</v>
      </c>
      <c r="C1176" s="200">
        <v>215452354</v>
      </c>
      <c r="D1176" s="178" t="s">
        <v>2217</v>
      </c>
      <c r="E1176" s="180">
        <v>10850</v>
      </c>
      <c r="F1176" s="192">
        <v>0</v>
      </c>
    </row>
    <row r="1177" spans="1:6" ht="12">
      <c r="A1177" s="190">
        <v>240314</v>
      </c>
      <c r="B1177" s="171" t="s">
        <v>991</v>
      </c>
      <c r="C1177" s="200">
        <v>215652356</v>
      </c>
      <c r="D1177" s="178" t="s">
        <v>2218</v>
      </c>
      <c r="E1177" s="180">
        <v>113355</v>
      </c>
      <c r="F1177" s="192">
        <v>0</v>
      </c>
    </row>
    <row r="1178" spans="1:6" ht="12">
      <c r="A1178" s="190">
        <v>240314</v>
      </c>
      <c r="B1178" s="171" t="s">
        <v>991</v>
      </c>
      <c r="C1178" s="200">
        <v>217852378</v>
      </c>
      <c r="D1178" s="178" t="s">
        <v>2219</v>
      </c>
      <c r="E1178" s="180">
        <v>23434</v>
      </c>
      <c r="F1178" s="192">
        <v>0</v>
      </c>
    </row>
    <row r="1179" spans="1:6" ht="12">
      <c r="A1179" s="190">
        <v>240314</v>
      </c>
      <c r="B1179" s="171" t="s">
        <v>991</v>
      </c>
      <c r="C1179" s="200">
        <v>218152381</v>
      </c>
      <c r="D1179" s="178" t="s">
        <v>2220</v>
      </c>
      <c r="E1179" s="180">
        <v>16263</v>
      </c>
      <c r="F1179" s="192">
        <v>0</v>
      </c>
    </row>
    <row r="1180" spans="1:6" ht="12">
      <c r="A1180" s="190">
        <v>240314</v>
      </c>
      <c r="B1180" s="171" t="s">
        <v>991</v>
      </c>
      <c r="C1180" s="200">
        <v>218552385</v>
      </c>
      <c r="D1180" s="178" t="s">
        <v>2221</v>
      </c>
      <c r="E1180" s="180">
        <v>7641</v>
      </c>
      <c r="F1180" s="192">
        <v>0</v>
      </c>
    </row>
    <row r="1181" spans="1:6" ht="12">
      <c r="A1181" s="190">
        <v>240314</v>
      </c>
      <c r="B1181" s="171" t="s">
        <v>991</v>
      </c>
      <c r="C1181" s="200">
        <v>219052390</v>
      </c>
      <c r="D1181" s="178" t="s">
        <v>2222</v>
      </c>
      <c r="E1181" s="180">
        <v>22888</v>
      </c>
      <c r="F1181" s="192">
        <v>0</v>
      </c>
    </row>
    <row r="1182" spans="1:6" ht="12">
      <c r="A1182" s="190">
        <v>240314</v>
      </c>
      <c r="B1182" s="171" t="s">
        <v>991</v>
      </c>
      <c r="C1182" s="200">
        <v>219952399</v>
      </c>
      <c r="D1182" s="178" t="s">
        <v>1202</v>
      </c>
      <c r="E1182" s="180">
        <v>29843</v>
      </c>
      <c r="F1182" s="192">
        <v>0</v>
      </c>
    </row>
    <row r="1183" spans="1:6" ht="12">
      <c r="A1183" s="190">
        <v>240314</v>
      </c>
      <c r="B1183" s="171" t="s">
        <v>991</v>
      </c>
      <c r="C1183" s="200">
        <v>210552405</v>
      </c>
      <c r="D1183" s="178" t="s">
        <v>2223</v>
      </c>
      <c r="E1183" s="180">
        <v>13978</v>
      </c>
      <c r="F1183" s="192">
        <v>0</v>
      </c>
    </row>
    <row r="1184" spans="1:6" ht="12">
      <c r="A1184" s="190">
        <v>240314</v>
      </c>
      <c r="B1184" s="171" t="s">
        <v>991</v>
      </c>
      <c r="C1184" s="200">
        <v>211152411</v>
      </c>
      <c r="D1184" s="178" t="s">
        <v>2224</v>
      </c>
      <c r="E1184" s="180">
        <v>15419</v>
      </c>
      <c r="F1184" s="192">
        <v>0</v>
      </c>
    </row>
    <row r="1185" spans="1:6" ht="12">
      <c r="A1185" s="190">
        <v>240314</v>
      </c>
      <c r="B1185" s="171" t="s">
        <v>991</v>
      </c>
      <c r="C1185" s="200">
        <v>211852418</v>
      </c>
      <c r="D1185" s="178" t="s">
        <v>2225</v>
      </c>
      <c r="E1185" s="180">
        <v>16306</v>
      </c>
      <c r="F1185" s="192">
        <v>0</v>
      </c>
    </row>
    <row r="1186" spans="1:6" ht="12">
      <c r="A1186" s="190">
        <v>240314</v>
      </c>
      <c r="B1186" s="171" t="s">
        <v>991</v>
      </c>
      <c r="C1186" s="200">
        <v>212752427</v>
      </c>
      <c r="D1186" s="178" t="s">
        <v>2226</v>
      </c>
      <c r="E1186" s="180">
        <v>29915</v>
      </c>
      <c r="F1186" s="192">
        <v>0</v>
      </c>
    </row>
    <row r="1187" spans="1:6" ht="12">
      <c r="A1187" s="190">
        <v>240314</v>
      </c>
      <c r="B1187" s="171" t="s">
        <v>991</v>
      </c>
      <c r="C1187" s="200">
        <v>213552435</v>
      </c>
      <c r="D1187" s="178" t="s">
        <v>2227</v>
      </c>
      <c r="E1187" s="180">
        <v>8932</v>
      </c>
      <c r="F1187" s="192">
        <v>0</v>
      </c>
    </row>
    <row r="1188" spans="1:6" ht="12">
      <c r="A1188" s="190">
        <v>240314</v>
      </c>
      <c r="B1188" s="171" t="s">
        <v>991</v>
      </c>
      <c r="C1188" s="200">
        <v>217352473</v>
      </c>
      <c r="D1188" s="178" t="s">
        <v>1899</v>
      </c>
      <c r="E1188" s="180">
        <v>21171</v>
      </c>
      <c r="F1188" s="192">
        <v>0</v>
      </c>
    </row>
    <row r="1189" spans="1:6" ht="12">
      <c r="A1189" s="190">
        <v>240314</v>
      </c>
      <c r="B1189" s="171" t="s">
        <v>991</v>
      </c>
      <c r="C1189" s="200">
        <v>218052480</v>
      </c>
      <c r="D1189" s="178" t="s">
        <v>1006</v>
      </c>
      <c r="E1189" s="180">
        <v>3427</v>
      </c>
      <c r="F1189" s="192">
        <v>0</v>
      </c>
    </row>
    <row r="1190" spans="1:6" ht="12">
      <c r="A1190" s="190">
        <v>240314</v>
      </c>
      <c r="B1190" s="171" t="s">
        <v>991</v>
      </c>
      <c r="C1190" s="200">
        <v>219052490</v>
      </c>
      <c r="D1190" s="178" t="s">
        <v>2228</v>
      </c>
      <c r="E1190" s="180">
        <v>40328</v>
      </c>
      <c r="F1190" s="192">
        <v>0</v>
      </c>
    </row>
    <row r="1191" spans="1:6" ht="12">
      <c r="A1191" s="190">
        <v>240314</v>
      </c>
      <c r="B1191" s="171" t="s">
        <v>991</v>
      </c>
      <c r="C1191" s="200">
        <v>210652506</v>
      </c>
      <c r="D1191" s="178" t="s">
        <v>2229</v>
      </c>
      <c r="E1191" s="180">
        <v>7262</v>
      </c>
      <c r="F1191" s="192">
        <v>0</v>
      </c>
    </row>
    <row r="1192" spans="1:6" ht="12">
      <c r="A1192" s="190">
        <v>240314</v>
      </c>
      <c r="B1192" s="171" t="s">
        <v>991</v>
      </c>
      <c r="C1192" s="200">
        <v>212052520</v>
      </c>
      <c r="D1192" s="178" t="s">
        <v>2230</v>
      </c>
      <c r="E1192" s="180">
        <v>15041</v>
      </c>
      <c r="F1192" s="192">
        <v>0</v>
      </c>
    </row>
    <row r="1193" spans="1:6" ht="12">
      <c r="A1193" s="190">
        <v>240314</v>
      </c>
      <c r="B1193" s="171" t="s">
        <v>991</v>
      </c>
      <c r="C1193" s="200">
        <v>214052540</v>
      </c>
      <c r="D1193" s="178" t="s">
        <v>2231</v>
      </c>
      <c r="E1193" s="180">
        <v>17228</v>
      </c>
      <c r="F1193" s="192">
        <v>0</v>
      </c>
    </row>
    <row r="1194" spans="1:6" ht="12">
      <c r="A1194" s="190">
        <v>240314</v>
      </c>
      <c r="B1194" s="171" t="s">
        <v>991</v>
      </c>
      <c r="C1194" s="200">
        <v>216052560</v>
      </c>
      <c r="D1194" s="178" t="s">
        <v>2232</v>
      </c>
      <c r="E1194" s="180">
        <v>13180</v>
      </c>
      <c r="F1194" s="192">
        <v>0</v>
      </c>
    </row>
    <row r="1195" spans="1:6" ht="12">
      <c r="A1195" s="190">
        <v>240314</v>
      </c>
      <c r="B1195" s="171" t="s">
        <v>991</v>
      </c>
      <c r="C1195" s="200">
        <v>216552565</v>
      </c>
      <c r="D1195" s="178" t="s">
        <v>2233</v>
      </c>
      <c r="E1195" s="180">
        <v>6370</v>
      </c>
      <c r="F1195" s="192">
        <v>0</v>
      </c>
    </row>
    <row r="1196" spans="1:6" ht="12">
      <c r="A1196" s="190">
        <v>240314</v>
      </c>
      <c r="B1196" s="171" t="s">
        <v>991</v>
      </c>
      <c r="C1196" s="200">
        <v>217352573</v>
      </c>
      <c r="D1196" s="178" t="s">
        <v>2234</v>
      </c>
      <c r="E1196" s="180">
        <v>11365</v>
      </c>
      <c r="F1196" s="192">
        <v>0</v>
      </c>
    </row>
    <row r="1197" spans="1:6" ht="12">
      <c r="A1197" s="190">
        <v>240314</v>
      </c>
      <c r="B1197" s="171" t="s">
        <v>991</v>
      </c>
      <c r="C1197" s="200">
        <v>218552585</v>
      </c>
      <c r="D1197" s="178" t="s">
        <v>2235</v>
      </c>
      <c r="E1197" s="180">
        <v>19160</v>
      </c>
      <c r="F1197" s="192">
        <v>0</v>
      </c>
    </row>
    <row r="1198" spans="1:6" ht="12">
      <c r="A1198" s="190">
        <v>240314</v>
      </c>
      <c r="B1198" s="171" t="s">
        <v>991</v>
      </c>
      <c r="C1198" s="200">
        <v>211252612</v>
      </c>
      <c r="D1198" s="178" t="s">
        <v>1931</v>
      </c>
      <c r="E1198" s="180">
        <v>26755</v>
      </c>
      <c r="F1198" s="192">
        <v>0</v>
      </c>
    </row>
    <row r="1199" spans="1:6" ht="12">
      <c r="A1199" s="190">
        <v>240314</v>
      </c>
      <c r="B1199" s="171" t="s">
        <v>991</v>
      </c>
      <c r="C1199" s="200">
        <v>212152621</v>
      </c>
      <c r="D1199" s="178" t="s">
        <v>2236</v>
      </c>
      <c r="E1199" s="180">
        <v>41570</v>
      </c>
      <c r="F1199" s="192">
        <v>0</v>
      </c>
    </row>
    <row r="1200" spans="1:6" ht="12">
      <c r="A1200" s="190">
        <v>240314</v>
      </c>
      <c r="B1200" s="171" t="s">
        <v>991</v>
      </c>
      <c r="C1200" s="200">
        <v>217852678</v>
      </c>
      <c r="D1200" s="178" t="s">
        <v>2237</v>
      </c>
      <c r="E1200" s="180">
        <v>44376</v>
      </c>
      <c r="F1200" s="192">
        <v>0</v>
      </c>
    </row>
    <row r="1201" spans="1:6" ht="12">
      <c r="A1201" s="190">
        <v>240314</v>
      </c>
      <c r="B1201" s="171" t="s">
        <v>991</v>
      </c>
      <c r="C1201" s="200">
        <v>218352683</v>
      </c>
      <c r="D1201" s="178" t="s">
        <v>2238</v>
      </c>
      <c r="E1201" s="180">
        <v>23233</v>
      </c>
      <c r="F1201" s="192">
        <v>0</v>
      </c>
    </row>
    <row r="1202" spans="1:6" ht="12">
      <c r="A1202" s="190">
        <v>240314</v>
      </c>
      <c r="B1202" s="171" t="s">
        <v>991</v>
      </c>
      <c r="C1202" s="200">
        <v>218552685</v>
      </c>
      <c r="D1202" s="178" t="s">
        <v>1935</v>
      </c>
      <c r="E1202" s="180">
        <v>9669</v>
      </c>
      <c r="F1202" s="192">
        <v>0</v>
      </c>
    </row>
    <row r="1203" spans="1:6" ht="12">
      <c r="A1203" s="190">
        <v>240314</v>
      </c>
      <c r="B1203" s="171" t="s">
        <v>991</v>
      </c>
      <c r="C1203" s="200">
        <v>218752687</v>
      </c>
      <c r="D1203" s="178" t="s">
        <v>2239</v>
      </c>
      <c r="E1203" s="180">
        <v>21825</v>
      </c>
      <c r="F1203" s="192">
        <v>0</v>
      </c>
    </row>
    <row r="1204" spans="1:6" ht="12">
      <c r="A1204" s="190">
        <v>240314</v>
      </c>
      <c r="B1204" s="171" t="s">
        <v>991</v>
      </c>
      <c r="C1204" s="200">
        <v>219352693</v>
      </c>
      <c r="D1204" s="178" t="s">
        <v>1409</v>
      </c>
      <c r="E1204" s="180">
        <v>19370</v>
      </c>
      <c r="F1204" s="192">
        <v>0</v>
      </c>
    </row>
    <row r="1205" spans="1:6" ht="12">
      <c r="A1205" s="190">
        <v>240314</v>
      </c>
      <c r="B1205" s="171" t="s">
        <v>991</v>
      </c>
      <c r="C1205" s="200">
        <v>219452694</v>
      </c>
      <c r="D1205" s="178" t="s">
        <v>2240</v>
      </c>
      <c r="E1205" s="180">
        <v>7839</v>
      </c>
      <c r="F1205" s="192">
        <v>0</v>
      </c>
    </row>
    <row r="1206" spans="1:6" ht="12">
      <c r="A1206" s="190">
        <v>240314</v>
      </c>
      <c r="B1206" s="171" t="s">
        <v>991</v>
      </c>
      <c r="C1206" s="200">
        <v>219652696</v>
      </c>
      <c r="D1206" s="178" t="s">
        <v>1269</v>
      </c>
      <c r="E1206" s="180">
        <v>24966</v>
      </c>
      <c r="F1206" s="192">
        <v>0</v>
      </c>
    </row>
    <row r="1207" spans="1:6" ht="12">
      <c r="A1207" s="190">
        <v>240314</v>
      </c>
      <c r="B1207" s="171" t="s">
        <v>991</v>
      </c>
      <c r="C1207" s="200">
        <v>219952699</v>
      </c>
      <c r="D1207" s="178" t="s">
        <v>2241</v>
      </c>
      <c r="E1207" s="180">
        <v>13687</v>
      </c>
      <c r="F1207" s="192">
        <v>0</v>
      </c>
    </row>
    <row r="1208" spans="1:6" ht="12">
      <c r="A1208" s="190">
        <v>240314</v>
      </c>
      <c r="B1208" s="171" t="s">
        <v>991</v>
      </c>
      <c r="C1208" s="200">
        <v>212052720</v>
      </c>
      <c r="D1208" s="178" t="s">
        <v>2242</v>
      </c>
      <c r="E1208" s="180">
        <v>7290</v>
      </c>
      <c r="F1208" s="192">
        <v>0</v>
      </c>
    </row>
    <row r="1209" spans="1:6" ht="12">
      <c r="A1209" s="190">
        <v>240314</v>
      </c>
      <c r="B1209" s="171" t="s">
        <v>991</v>
      </c>
      <c r="C1209" s="200">
        <v>218652786</v>
      </c>
      <c r="D1209" s="178" t="s">
        <v>2243</v>
      </c>
      <c r="E1209" s="180">
        <v>21579</v>
      </c>
      <c r="F1209" s="192">
        <v>0</v>
      </c>
    </row>
    <row r="1210" spans="1:6" ht="12">
      <c r="A1210" s="190">
        <v>240314</v>
      </c>
      <c r="B1210" s="171" t="s">
        <v>991</v>
      </c>
      <c r="C1210" s="200">
        <v>218852788</v>
      </c>
      <c r="D1210" s="178" t="s">
        <v>2244</v>
      </c>
      <c r="E1210" s="180">
        <v>11460</v>
      </c>
      <c r="F1210" s="192">
        <v>0</v>
      </c>
    </row>
    <row r="1211" spans="1:6" ht="12">
      <c r="A1211" s="190">
        <v>240314</v>
      </c>
      <c r="B1211" s="171" t="s">
        <v>991</v>
      </c>
      <c r="C1211" s="200">
        <v>213852838</v>
      </c>
      <c r="D1211" s="178" t="s">
        <v>2245</v>
      </c>
      <c r="E1211" s="180">
        <v>53008</v>
      </c>
      <c r="F1211" s="192">
        <v>0</v>
      </c>
    </row>
    <row r="1212" spans="1:6" ht="12">
      <c r="A1212" s="190">
        <v>240314</v>
      </c>
      <c r="B1212" s="171" t="s">
        <v>991</v>
      </c>
      <c r="C1212" s="200">
        <v>218552885</v>
      </c>
      <c r="D1212" s="178" t="s">
        <v>2246</v>
      </c>
      <c r="E1212" s="180">
        <v>10885</v>
      </c>
      <c r="F1212" s="192">
        <v>0</v>
      </c>
    </row>
    <row r="1213" spans="1:6" ht="12">
      <c r="A1213" s="190">
        <v>240314</v>
      </c>
      <c r="B1213" s="171" t="s">
        <v>991</v>
      </c>
      <c r="C1213" s="200">
        <v>210354003</v>
      </c>
      <c r="D1213" s="178" t="s">
        <v>2247</v>
      </c>
      <c r="E1213" s="180">
        <v>48122</v>
      </c>
      <c r="F1213" s="192">
        <v>0</v>
      </c>
    </row>
    <row r="1214" spans="1:6" ht="12">
      <c r="A1214" s="190">
        <v>240314</v>
      </c>
      <c r="B1214" s="171" t="s">
        <v>991</v>
      </c>
      <c r="C1214" s="200">
        <v>215154051</v>
      </c>
      <c r="D1214" s="178" t="s">
        <v>2248</v>
      </c>
      <c r="E1214" s="180">
        <v>12680</v>
      </c>
      <c r="F1214" s="192">
        <v>0</v>
      </c>
    </row>
    <row r="1215" spans="1:6" ht="12">
      <c r="A1215" s="190">
        <v>240314</v>
      </c>
      <c r="B1215" s="171" t="s">
        <v>991</v>
      </c>
      <c r="C1215" s="200">
        <v>219954099</v>
      </c>
      <c r="D1215" s="178" t="s">
        <v>2249</v>
      </c>
      <c r="E1215" s="180">
        <v>9567</v>
      </c>
      <c r="F1215" s="192">
        <v>0</v>
      </c>
    </row>
    <row r="1216" spans="1:6" ht="12">
      <c r="A1216" s="190">
        <v>240314</v>
      </c>
      <c r="B1216" s="171" t="s">
        <v>991</v>
      </c>
      <c r="C1216" s="200">
        <v>210954109</v>
      </c>
      <c r="D1216" s="178" t="s">
        <v>2250</v>
      </c>
      <c r="E1216" s="180">
        <v>9429</v>
      </c>
      <c r="F1216" s="192">
        <v>0</v>
      </c>
    </row>
    <row r="1217" spans="1:6" ht="12">
      <c r="A1217" s="190">
        <v>240314</v>
      </c>
      <c r="B1217" s="171" t="s">
        <v>991</v>
      </c>
      <c r="C1217" s="200">
        <v>212554125</v>
      </c>
      <c r="D1217" s="178" t="s">
        <v>2251</v>
      </c>
      <c r="E1217" s="180">
        <v>3260</v>
      </c>
      <c r="F1217" s="192">
        <v>0</v>
      </c>
    </row>
    <row r="1218" spans="1:6" ht="12">
      <c r="A1218" s="190">
        <v>240314</v>
      </c>
      <c r="B1218" s="171" t="s">
        <v>991</v>
      </c>
      <c r="C1218" s="200">
        <v>212854128</v>
      </c>
      <c r="D1218" s="178" t="s">
        <v>2252</v>
      </c>
      <c r="E1218" s="180">
        <v>14923</v>
      </c>
      <c r="F1218" s="192">
        <v>0</v>
      </c>
    </row>
    <row r="1219" spans="1:6" ht="12">
      <c r="A1219" s="190">
        <v>240314</v>
      </c>
      <c r="B1219" s="171" t="s">
        <v>991</v>
      </c>
      <c r="C1219" s="200">
        <v>217254172</v>
      </c>
      <c r="D1219" s="178" t="s">
        <v>2253</v>
      </c>
      <c r="E1219" s="180">
        <v>16556</v>
      </c>
      <c r="F1219" s="192">
        <v>0</v>
      </c>
    </row>
    <row r="1220" spans="1:6" ht="12">
      <c r="A1220" s="190">
        <v>240314</v>
      </c>
      <c r="B1220" s="171" t="s">
        <v>991</v>
      </c>
      <c r="C1220" s="200">
        <v>217454174</v>
      </c>
      <c r="D1220" s="178" t="s">
        <v>2254</v>
      </c>
      <c r="E1220" s="180">
        <v>11893</v>
      </c>
      <c r="F1220" s="192">
        <v>0</v>
      </c>
    </row>
    <row r="1221" spans="1:6" ht="12">
      <c r="A1221" s="190">
        <v>240314</v>
      </c>
      <c r="B1221" s="171" t="s">
        <v>991</v>
      </c>
      <c r="C1221" s="200">
        <v>210654206</v>
      </c>
      <c r="D1221" s="178" t="s">
        <v>2255</v>
      </c>
      <c r="E1221" s="180">
        <v>24685</v>
      </c>
      <c r="F1221" s="192">
        <v>0</v>
      </c>
    </row>
    <row r="1222" spans="1:6" ht="12">
      <c r="A1222" s="190">
        <v>240314</v>
      </c>
      <c r="B1222" s="171" t="s">
        <v>991</v>
      </c>
      <c r="C1222" s="200">
        <v>212354223</v>
      </c>
      <c r="D1222" s="178" t="s">
        <v>2256</v>
      </c>
      <c r="E1222" s="180">
        <v>12137</v>
      </c>
      <c r="F1222" s="192">
        <v>0</v>
      </c>
    </row>
    <row r="1223" spans="1:6" ht="12">
      <c r="A1223" s="190">
        <v>240314</v>
      </c>
      <c r="B1223" s="171" t="s">
        <v>991</v>
      </c>
      <c r="C1223" s="200">
        <v>213954239</v>
      </c>
      <c r="D1223" s="178" t="s">
        <v>2257</v>
      </c>
      <c r="E1223" s="180">
        <v>5294</v>
      </c>
      <c r="F1223" s="192">
        <v>0</v>
      </c>
    </row>
    <row r="1224" spans="1:6" ht="12">
      <c r="A1224" s="190">
        <v>240314</v>
      </c>
      <c r="B1224" s="171" t="s">
        <v>991</v>
      </c>
      <c r="C1224" s="200">
        <v>214554245</v>
      </c>
      <c r="D1224" s="178" t="s">
        <v>2031</v>
      </c>
      <c r="E1224" s="180">
        <v>20437</v>
      </c>
      <c r="F1224" s="192">
        <v>0</v>
      </c>
    </row>
    <row r="1225" spans="1:6" ht="12">
      <c r="A1225" s="190">
        <v>240314</v>
      </c>
      <c r="B1225" s="171" t="s">
        <v>991</v>
      </c>
      <c r="C1225" s="200">
        <v>215054250</v>
      </c>
      <c r="D1225" s="178" t="s">
        <v>2258</v>
      </c>
      <c r="E1225" s="180">
        <v>18266</v>
      </c>
      <c r="F1225" s="192">
        <v>0</v>
      </c>
    </row>
    <row r="1226" spans="1:6" ht="12">
      <c r="A1226" s="190">
        <v>240314</v>
      </c>
      <c r="B1226" s="171" t="s">
        <v>991</v>
      </c>
      <c r="C1226" s="200">
        <v>216154261</v>
      </c>
      <c r="D1226" s="178" t="s">
        <v>2259</v>
      </c>
      <c r="E1226" s="180">
        <v>26168</v>
      </c>
      <c r="F1226" s="192">
        <v>0</v>
      </c>
    </row>
    <row r="1227" spans="1:6" ht="12">
      <c r="A1227" s="190">
        <v>240314</v>
      </c>
      <c r="B1227" s="171" t="s">
        <v>991</v>
      </c>
      <c r="C1227" s="200">
        <v>211354313</v>
      </c>
      <c r="D1227" s="178" t="s">
        <v>2260</v>
      </c>
      <c r="E1227" s="180">
        <v>9028</v>
      </c>
      <c r="F1227" s="192">
        <v>0</v>
      </c>
    </row>
    <row r="1228" spans="1:6" ht="12">
      <c r="A1228" s="190">
        <v>240314</v>
      </c>
      <c r="B1228" s="171" t="s">
        <v>991</v>
      </c>
      <c r="C1228" s="200">
        <v>214454344</v>
      </c>
      <c r="D1228" s="178" t="s">
        <v>2261</v>
      </c>
      <c r="E1228" s="180">
        <v>18965</v>
      </c>
      <c r="F1228" s="192">
        <v>0</v>
      </c>
    </row>
    <row r="1229" spans="1:6" ht="12">
      <c r="A1229" s="190">
        <v>240314</v>
      </c>
      <c r="B1229" s="171" t="s">
        <v>991</v>
      </c>
      <c r="C1229" s="200">
        <v>214754347</v>
      </c>
      <c r="D1229" s="178" t="s">
        <v>2262</v>
      </c>
      <c r="E1229" s="180">
        <v>2962</v>
      </c>
      <c r="F1229" s="192">
        <v>0</v>
      </c>
    </row>
    <row r="1230" spans="1:6" ht="12">
      <c r="A1230" s="190">
        <v>240314</v>
      </c>
      <c r="B1230" s="171" t="s">
        <v>991</v>
      </c>
      <c r="C1230" s="200">
        <v>217754377</v>
      </c>
      <c r="D1230" s="178" t="s">
        <v>2263</v>
      </c>
      <c r="E1230" s="180">
        <v>7302</v>
      </c>
      <c r="F1230" s="192">
        <v>0</v>
      </c>
    </row>
    <row r="1231" spans="1:6" ht="12">
      <c r="A1231" s="190">
        <v>240314</v>
      </c>
      <c r="B1231" s="171" t="s">
        <v>991</v>
      </c>
      <c r="C1231" s="200">
        <v>218554385</v>
      </c>
      <c r="D1231" s="178" t="s">
        <v>2264</v>
      </c>
      <c r="E1231" s="180">
        <v>16632</v>
      </c>
      <c r="F1231" s="192">
        <v>0</v>
      </c>
    </row>
    <row r="1232" spans="1:6" ht="12">
      <c r="A1232" s="190">
        <v>240314</v>
      </c>
      <c r="B1232" s="171" t="s">
        <v>991</v>
      </c>
      <c r="C1232" s="200">
        <v>219854398</v>
      </c>
      <c r="D1232" s="178" t="s">
        <v>2265</v>
      </c>
      <c r="E1232" s="180">
        <v>11456</v>
      </c>
      <c r="F1232" s="192">
        <v>0</v>
      </c>
    </row>
    <row r="1233" spans="1:6" ht="12">
      <c r="A1233" s="190">
        <v>240314</v>
      </c>
      <c r="B1233" s="171" t="s">
        <v>991</v>
      </c>
      <c r="C1233" s="200">
        <v>210554405</v>
      </c>
      <c r="D1233" s="178" t="s">
        <v>2266</v>
      </c>
      <c r="E1233" s="180">
        <v>57175</v>
      </c>
      <c r="F1233" s="192">
        <v>0</v>
      </c>
    </row>
    <row r="1234" spans="1:6" ht="12">
      <c r="A1234" s="190">
        <v>240314</v>
      </c>
      <c r="B1234" s="171" t="s">
        <v>991</v>
      </c>
      <c r="C1234" s="200">
        <v>211854418</v>
      </c>
      <c r="D1234" s="178" t="s">
        <v>2267</v>
      </c>
      <c r="E1234" s="180">
        <v>4219</v>
      </c>
      <c r="F1234" s="192">
        <v>0</v>
      </c>
    </row>
    <row r="1235" spans="1:6" ht="12">
      <c r="A1235" s="190">
        <v>240314</v>
      </c>
      <c r="B1235" s="171" t="s">
        <v>991</v>
      </c>
      <c r="C1235" s="200">
        <v>218054480</v>
      </c>
      <c r="D1235" s="178" t="s">
        <v>2268</v>
      </c>
      <c r="E1235" s="180">
        <v>4633</v>
      </c>
      <c r="F1235" s="192">
        <v>0</v>
      </c>
    </row>
    <row r="1236" spans="1:6" ht="12">
      <c r="A1236" s="190">
        <v>240314</v>
      </c>
      <c r="B1236" s="171" t="s">
        <v>991</v>
      </c>
      <c r="C1236" s="200">
        <v>219854498</v>
      </c>
      <c r="D1236" s="178" t="s">
        <v>2269</v>
      </c>
      <c r="E1236" s="180">
        <v>110898</v>
      </c>
      <c r="F1236" s="192">
        <v>0</v>
      </c>
    </row>
    <row r="1237" spans="1:6" ht="12">
      <c r="A1237" s="190">
        <v>240314</v>
      </c>
      <c r="B1237" s="171" t="s">
        <v>991</v>
      </c>
      <c r="C1237" s="200">
        <v>211854518</v>
      </c>
      <c r="D1237" s="178" t="s">
        <v>2270</v>
      </c>
      <c r="E1237" s="180">
        <v>54178</v>
      </c>
      <c r="F1237" s="192">
        <v>0</v>
      </c>
    </row>
    <row r="1238" spans="1:6" ht="12">
      <c r="A1238" s="190">
        <v>240314</v>
      </c>
      <c r="B1238" s="171" t="s">
        <v>991</v>
      </c>
      <c r="C1238" s="200">
        <v>212054520</v>
      </c>
      <c r="D1238" s="178" t="s">
        <v>2271</v>
      </c>
      <c r="E1238" s="180">
        <v>5379</v>
      </c>
      <c r="F1238" s="192">
        <v>0</v>
      </c>
    </row>
    <row r="1239" spans="1:6" ht="12">
      <c r="A1239" s="190">
        <v>240314</v>
      </c>
      <c r="B1239" s="171" t="s">
        <v>991</v>
      </c>
      <c r="C1239" s="200">
        <v>215354553</v>
      </c>
      <c r="D1239" s="178" t="s">
        <v>2272</v>
      </c>
      <c r="E1239" s="180">
        <v>7186</v>
      </c>
      <c r="F1239" s="192">
        <v>0</v>
      </c>
    </row>
    <row r="1240" spans="1:6" ht="12">
      <c r="A1240" s="190">
        <v>240314</v>
      </c>
      <c r="B1240" s="171" t="s">
        <v>991</v>
      </c>
      <c r="C1240" s="200">
        <v>219954599</v>
      </c>
      <c r="D1240" s="178" t="s">
        <v>2273</v>
      </c>
      <c r="E1240" s="180">
        <v>5379</v>
      </c>
      <c r="F1240" s="192">
        <v>0</v>
      </c>
    </row>
    <row r="1241" spans="1:6" ht="12">
      <c r="A1241" s="190">
        <v>240314</v>
      </c>
      <c r="B1241" s="171" t="s">
        <v>991</v>
      </c>
      <c r="C1241" s="200">
        <v>216054660</v>
      </c>
      <c r="D1241" s="178" t="s">
        <v>2274</v>
      </c>
      <c r="E1241" s="180">
        <v>13106</v>
      </c>
      <c r="F1241" s="192">
        <v>0</v>
      </c>
    </row>
    <row r="1242" spans="1:6" ht="12">
      <c r="A1242" s="190">
        <v>240314</v>
      </c>
      <c r="B1242" s="171" t="s">
        <v>991</v>
      </c>
      <c r="C1242" s="200">
        <v>217054670</v>
      </c>
      <c r="D1242" s="178" t="s">
        <v>2275</v>
      </c>
      <c r="E1242" s="180">
        <v>21320</v>
      </c>
      <c r="F1242" s="192">
        <v>0</v>
      </c>
    </row>
    <row r="1243" spans="1:6" ht="12">
      <c r="A1243" s="190">
        <v>240314</v>
      </c>
      <c r="B1243" s="171" t="s">
        <v>991</v>
      </c>
      <c r="C1243" s="200">
        <v>217354673</v>
      </c>
      <c r="D1243" s="178" t="s">
        <v>1937</v>
      </c>
      <c r="E1243" s="180">
        <v>5218</v>
      </c>
      <c r="F1243" s="192">
        <v>0</v>
      </c>
    </row>
    <row r="1244" spans="1:6" ht="12">
      <c r="A1244" s="190">
        <v>240314</v>
      </c>
      <c r="B1244" s="171" t="s">
        <v>991</v>
      </c>
      <c r="C1244" s="174">
        <v>218054680</v>
      </c>
      <c r="D1244" s="178" t="s">
        <v>2276</v>
      </c>
      <c r="E1244" s="180">
        <v>4228</v>
      </c>
      <c r="F1244" s="192">
        <v>0</v>
      </c>
    </row>
    <row r="1245" spans="1:6" ht="12">
      <c r="A1245" s="190">
        <v>240314</v>
      </c>
      <c r="B1245" s="171" t="s">
        <v>991</v>
      </c>
      <c r="C1245" s="174">
        <v>212054720</v>
      </c>
      <c r="D1245" s="178" t="s">
        <v>2277</v>
      </c>
      <c r="E1245" s="180">
        <v>35839</v>
      </c>
      <c r="F1245" s="192">
        <v>0</v>
      </c>
    </row>
    <row r="1246" spans="1:6" ht="12">
      <c r="A1246" s="190">
        <v>240314</v>
      </c>
      <c r="B1246" s="171" t="s">
        <v>991</v>
      </c>
      <c r="C1246" s="174">
        <v>214354743</v>
      </c>
      <c r="D1246" s="178" t="s">
        <v>2278</v>
      </c>
      <c r="E1246" s="180">
        <v>7091</v>
      </c>
      <c r="F1246" s="192">
        <v>0</v>
      </c>
    </row>
    <row r="1247" spans="1:6" ht="12">
      <c r="A1247" s="190">
        <v>240314</v>
      </c>
      <c r="B1247" s="171" t="s">
        <v>991</v>
      </c>
      <c r="C1247" s="174">
        <v>210054800</v>
      </c>
      <c r="D1247" s="178" t="s">
        <v>2279</v>
      </c>
      <c r="E1247" s="180">
        <v>24540</v>
      </c>
      <c r="F1247" s="192">
        <v>0</v>
      </c>
    </row>
    <row r="1248" spans="1:6" ht="12">
      <c r="A1248" s="190">
        <v>240314</v>
      </c>
      <c r="B1248" s="171" t="s">
        <v>991</v>
      </c>
      <c r="C1248" s="174">
        <v>211054810</v>
      </c>
      <c r="D1248" s="178" t="s">
        <v>2280</v>
      </c>
      <c r="E1248" s="180">
        <v>53221</v>
      </c>
      <c r="F1248" s="192">
        <v>0</v>
      </c>
    </row>
    <row r="1249" spans="1:6" ht="12">
      <c r="A1249" s="190">
        <v>240314</v>
      </c>
      <c r="B1249" s="171" t="s">
        <v>991</v>
      </c>
      <c r="C1249" s="174">
        <v>212054820</v>
      </c>
      <c r="D1249" s="178" t="s">
        <v>1290</v>
      </c>
      <c r="E1249" s="180">
        <v>21109</v>
      </c>
      <c r="F1249" s="192">
        <v>0</v>
      </c>
    </row>
    <row r="1250" spans="1:6" ht="12">
      <c r="A1250" s="190">
        <v>240314</v>
      </c>
      <c r="B1250" s="171" t="s">
        <v>991</v>
      </c>
      <c r="C1250" s="200">
        <v>217154871</v>
      </c>
      <c r="D1250" s="178" t="s">
        <v>2281</v>
      </c>
      <c r="E1250" s="180">
        <v>6888</v>
      </c>
      <c r="F1250" s="192">
        <v>0</v>
      </c>
    </row>
    <row r="1251" spans="1:6" ht="12">
      <c r="A1251" s="190">
        <v>240314</v>
      </c>
      <c r="B1251" s="171" t="s">
        <v>991</v>
      </c>
      <c r="C1251" s="174">
        <v>217454874</v>
      </c>
      <c r="D1251" s="178" t="s">
        <v>2282</v>
      </c>
      <c r="E1251" s="180">
        <v>71811</v>
      </c>
      <c r="F1251" s="192">
        <v>0</v>
      </c>
    </row>
    <row r="1252" spans="1:6" ht="12">
      <c r="A1252" s="190">
        <v>240314</v>
      </c>
      <c r="B1252" s="171" t="s">
        <v>991</v>
      </c>
      <c r="C1252" s="174">
        <v>211163111</v>
      </c>
      <c r="D1252" s="178" t="s">
        <v>1448</v>
      </c>
      <c r="E1252" s="180">
        <v>4329</v>
      </c>
      <c r="F1252" s="192">
        <v>0</v>
      </c>
    </row>
    <row r="1253" spans="1:6" ht="12">
      <c r="A1253" s="190">
        <v>240314</v>
      </c>
      <c r="B1253" s="171" t="s">
        <v>991</v>
      </c>
      <c r="C1253" s="200">
        <v>213063130</v>
      </c>
      <c r="D1253" s="178" t="s">
        <v>2283</v>
      </c>
      <c r="E1253" s="180">
        <v>87479</v>
      </c>
      <c r="F1253" s="192">
        <v>0</v>
      </c>
    </row>
    <row r="1254" spans="1:6" ht="12">
      <c r="A1254" s="190">
        <v>240314</v>
      </c>
      <c r="B1254" s="171" t="s">
        <v>991</v>
      </c>
      <c r="C1254" s="174">
        <v>219063190</v>
      </c>
      <c r="D1254" s="178" t="s">
        <v>2284</v>
      </c>
      <c r="E1254" s="180">
        <v>31466</v>
      </c>
      <c r="F1254" s="192">
        <v>0</v>
      </c>
    </row>
    <row r="1255" spans="1:6" ht="12">
      <c r="A1255" s="190">
        <v>240314</v>
      </c>
      <c r="B1255" s="171" t="s">
        <v>991</v>
      </c>
      <c r="C1255" s="174">
        <v>211263212</v>
      </c>
      <c r="D1255" s="178" t="s">
        <v>1001</v>
      </c>
      <c r="E1255" s="180">
        <v>7190</v>
      </c>
      <c r="F1255" s="192">
        <v>0</v>
      </c>
    </row>
    <row r="1256" spans="1:6" ht="12">
      <c r="A1256" s="190">
        <v>240314</v>
      </c>
      <c r="B1256" s="171" t="s">
        <v>991</v>
      </c>
      <c r="C1256" s="174">
        <v>217263272</v>
      </c>
      <c r="D1256" s="178" t="s">
        <v>2285</v>
      </c>
      <c r="E1256" s="180">
        <v>16086</v>
      </c>
      <c r="F1256" s="192">
        <v>0</v>
      </c>
    </row>
    <row r="1257" spans="1:6" ht="12">
      <c r="A1257" s="190">
        <v>240314</v>
      </c>
      <c r="B1257" s="171" t="s">
        <v>991</v>
      </c>
      <c r="C1257" s="174">
        <v>210263302</v>
      </c>
      <c r="D1257" s="178" t="s">
        <v>2286</v>
      </c>
      <c r="E1257" s="180">
        <v>10632</v>
      </c>
      <c r="F1257" s="192">
        <v>0</v>
      </c>
    </row>
    <row r="1258" spans="1:6" ht="12">
      <c r="A1258" s="190">
        <v>240314</v>
      </c>
      <c r="B1258" s="171" t="s">
        <v>991</v>
      </c>
      <c r="C1258" s="174">
        <v>210163401</v>
      </c>
      <c r="D1258" s="178" t="s">
        <v>2287</v>
      </c>
      <c r="E1258" s="180">
        <v>43553</v>
      </c>
      <c r="F1258" s="192">
        <v>0</v>
      </c>
    </row>
    <row r="1259" spans="1:6" ht="12">
      <c r="A1259" s="190">
        <v>240314</v>
      </c>
      <c r="B1259" s="171" t="s">
        <v>991</v>
      </c>
      <c r="C1259" s="174">
        <v>217063470</v>
      </c>
      <c r="D1259" s="178" t="s">
        <v>2288</v>
      </c>
      <c r="E1259" s="180">
        <v>50238</v>
      </c>
      <c r="F1259" s="192">
        <v>0</v>
      </c>
    </row>
    <row r="1260" spans="1:6" ht="12">
      <c r="A1260" s="190">
        <v>240314</v>
      </c>
      <c r="B1260" s="171" t="s">
        <v>991</v>
      </c>
      <c r="C1260" s="174">
        <v>214863548</v>
      </c>
      <c r="D1260" s="178" t="s">
        <v>2289</v>
      </c>
      <c r="E1260" s="180">
        <v>14154</v>
      </c>
      <c r="F1260" s="192">
        <v>0</v>
      </c>
    </row>
    <row r="1261" spans="1:6" ht="12">
      <c r="A1261" s="190">
        <v>240314</v>
      </c>
      <c r="B1261" s="171" t="s">
        <v>991</v>
      </c>
      <c r="C1261" s="174">
        <v>219463594</v>
      </c>
      <c r="D1261" s="178" t="s">
        <v>2290</v>
      </c>
      <c r="E1261" s="180">
        <v>41831</v>
      </c>
      <c r="F1261" s="192">
        <v>0</v>
      </c>
    </row>
    <row r="1262" spans="1:6" ht="12">
      <c r="A1262" s="190">
        <v>240314</v>
      </c>
      <c r="B1262" s="171" t="s">
        <v>991</v>
      </c>
      <c r="C1262" s="174">
        <v>219063690</v>
      </c>
      <c r="D1262" s="178" t="s">
        <v>2291</v>
      </c>
      <c r="E1262" s="180">
        <v>9310</v>
      </c>
      <c r="F1262" s="192">
        <v>0</v>
      </c>
    </row>
    <row r="1263" spans="1:6" ht="12">
      <c r="A1263" s="190">
        <v>240314</v>
      </c>
      <c r="B1263" s="171" t="s">
        <v>991</v>
      </c>
      <c r="C1263" s="174">
        <v>214566045</v>
      </c>
      <c r="D1263" s="178" t="s">
        <v>2292</v>
      </c>
      <c r="E1263" s="180">
        <v>14169</v>
      </c>
      <c r="F1263" s="192">
        <v>0</v>
      </c>
    </row>
    <row r="1264" spans="1:6" ht="12">
      <c r="A1264" s="190">
        <v>240314</v>
      </c>
      <c r="B1264" s="171" t="s">
        <v>991</v>
      </c>
      <c r="C1264" s="174">
        <v>217566075</v>
      </c>
      <c r="D1264" s="178" t="s">
        <v>1671</v>
      </c>
      <c r="E1264" s="180">
        <v>8099</v>
      </c>
      <c r="F1264" s="192">
        <v>0</v>
      </c>
    </row>
    <row r="1265" spans="1:6" ht="12">
      <c r="A1265" s="190">
        <v>240314</v>
      </c>
      <c r="B1265" s="171" t="s">
        <v>991</v>
      </c>
      <c r="C1265" s="200">
        <v>218866088</v>
      </c>
      <c r="D1265" s="178" t="s">
        <v>2293</v>
      </c>
      <c r="E1265" s="180">
        <v>32799</v>
      </c>
      <c r="F1265" s="192">
        <v>0</v>
      </c>
    </row>
    <row r="1266" spans="1:6" ht="12">
      <c r="A1266" s="190">
        <v>240314</v>
      </c>
      <c r="B1266" s="171" t="s">
        <v>991</v>
      </c>
      <c r="C1266" s="174">
        <v>211866318</v>
      </c>
      <c r="D1266" s="178" t="s">
        <v>2294</v>
      </c>
      <c r="E1266" s="180">
        <v>16066</v>
      </c>
      <c r="F1266" s="192">
        <v>0</v>
      </c>
    </row>
    <row r="1267" spans="1:6" ht="12">
      <c r="A1267" s="190">
        <v>240314</v>
      </c>
      <c r="B1267" s="171" t="s">
        <v>991</v>
      </c>
      <c r="C1267" s="200">
        <v>218366383</v>
      </c>
      <c r="D1267" s="178" t="s">
        <v>2295</v>
      </c>
      <c r="E1267" s="180">
        <v>10027</v>
      </c>
      <c r="F1267" s="192">
        <v>0</v>
      </c>
    </row>
    <row r="1268" spans="1:6" ht="12">
      <c r="A1268" s="190">
        <v>240314</v>
      </c>
      <c r="B1268" s="171" t="s">
        <v>991</v>
      </c>
      <c r="C1268" s="174">
        <v>210066400</v>
      </c>
      <c r="D1268" s="178" t="s">
        <v>2296</v>
      </c>
      <c r="E1268" s="180">
        <v>39202</v>
      </c>
      <c r="F1268" s="192">
        <v>0</v>
      </c>
    </row>
    <row r="1269" spans="1:6" ht="12">
      <c r="A1269" s="190">
        <v>240314</v>
      </c>
      <c r="B1269" s="171" t="s">
        <v>991</v>
      </c>
      <c r="C1269" s="174">
        <v>214066440</v>
      </c>
      <c r="D1269" s="178" t="s">
        <v>2297</v>
      </c>
      <c r="E1269" s="180">
        <v>24024</v>
      </c>
      <c r="F1269" s="192">
        <v>0</v>
      </c>
    </row>
    <row r="1270" spans="1:6" ht="12">
      <c r="A1270" s="190">
        <v>240314</v>
      </c>
      <c r="B1270" s="171" t="s">
        <v>991</v>
      </c>
      <c r="C1270" s="174">
        <v>215666456</v>
      </c>
      <c r="D1270" s="178" t="s">
        <v>2298</v>
      </c>
      <c r="E1270" s="180">
        <v>21415</v>
      </c>
      <c r="F1270" s="192">
        <v>0</v>
      </c>
    </row>
    <row r="1271" spans="1:6" ht="12">
      <c r="A1271" s="190">
        <v>240314</v>
      </c>
      <c r="B1271" s="171" t="s">
        <v>991</v>
      </c>
      <c r="C1271" s="174">
        <v>217266572</v>
      </c>
      <c r="D1271" s="178" t="s">
        <v>2299</v>
      </c>
      <c r="E1271" s="180">
        <v>21276</v>
      </c>
      <c r="F1271" s="192">
        <v>0</v>
      </c>
    </row>
    <row r="1272" spans="1:6" ht="12">
      <c r="A1272" s="190">
        <v>240314</v>
      </c>
      <c r="B1272" s="171" t="s">
        <v>991</v>
      </c>
      <c r="C1272" s="200">
        <v>219466594</v>
      </c>
      <c r="D1272" s="178" t="s">
        <v>2300</v>
      </c>
      <c r="E1272" s="180">
        <v>37055</v>
      </c>
      <c r="F1272" s="192">
        <v>0</v>
      </c>
    </row>
    <row r="1273" spans="1:6" ht="12">
      <c r="A1273" s="190">
        <v>240314</v>
      </c>
      <c r="B1273" s="171" t="s">
        <v>991</v>
      </c>
      <c r="C1273" s="200">
        <v>218266682</v>
      </c>
      <c r="D1273" s="178" t="s">
        <v>2301</v>
      </c>
      <c r="E1273" s="180">
        <v>78851</v>
      </c>
      <c r="F1273" s="192">
        <v>0</v>
      </c>
    </row>
    <row r="1274" spans="1:6" ht="12">
      <c r="A1274" s="190">
        <v>240314</v>
      </c>
      <c r="B1274" s="171" t="s">
        <v>991</v>
      </c>
      <c r="C1274" s="174">
        <v>218766687</v>
      </c>
      <c r="D1274" s="178" t="s">
        <v>2302</v>
      </c>
      <c r="E1274" s="180">
        <v>17399</v>
      </c>
      <c r="F1274" s="192">
        <v>0</v>
      </c>
    </row>
    <row r="1275" spans="1:6" ht="12">
      <c r="A1275" s="190">
        <v>240314</v>
      </c>
      <c r="B1275" s="171" t="s">
        <v>991</v>
      </c>
      <c r="C1275" s="174" t="s">
        <v>2303</v>
      </c>
      <c r="D1275" s="178" t="s">
        <v>2304</v>
      </c>
      <c r="E1275" s="180">
        <v>2367</v>
      </c>
      <c r="F1275" s="192">
        <v>0</v>
      </c>
    </row>
    <row r="1276" spans="1:6" ht="12">
      <c r="A1276" s="190">
        <v>240314</v>
      </c>
      <c r="B1276" s="171" t="s">
        <v>991</v>
      </c>
      <c r="C1276" s="174" t="s">
        <v>2305</v>
      </c>
      <c r="D1276" s="178" t="s">
        <v>1646</v>
      </c>
      <c r="E1276" s="180">
        <v>5662</v>
      </c>
      <c r="F1276" s="192">
        <v>0</v>
      </c>
    </row>
    <row r="1277" spans="1:6" ht="12">
      <c r="A1277" s="190">
        <v>240314</v>
      </c>
      <c r="B1277" s="171" t="s">
        <v>991</v>
      </c>
      <c r="C1277" s="174" t="s">
        <v>2306</v>
      </c>
      <c r="D1277" s="178" t="s">
        <v>2307</v>
      </c>
      <c r="E1277" s="180">
        <v>9925</v>
      </c>
      <c r="F1277" s="192">
        <v>0</v>
      </c>
    </row>
    <row r="1278" spans="1:6" ht="12">
      <c r="A1278" s="190">
        <v>240314</v>
      </c>
      <c r="B1278" s="171" t="s">
        <v>991</v>
      </c>
      <c r="C1278" s="174" t="s">
        <v>2308</v>
      </c>
      <c r="D1278" s="178" t="s">
        <v>1117</v>
      </c>
      <c r="E1278" s="180">
        <v>25224</v>
      </c>
      <c r="F1278" s="192">
        <v>0</v>
      </c>
    </row>
    <row r="1279" spans="1:6" ht="12">
      <c r="A1279" s="190">
        <v>240314</v>
      </c>
      <c r="B1279" s="171" t="s">
        <v>991</v>
      </c>
      <c r="C1279" s="174" t="s">
        <v>2309</v>
      </c>
      <c r="D1279" s="178" t="s">
        <v>2310</v>
      </c>
      <c r="E1279" s="180">
        <v>7598</v>
      </c>
      <c r="F1279" s="192">
        <v>0</v>
      </c>
    </row>
    <row r="1280" spans="1:6" ht="12">
      <c r="A1280" s="190">
        <v>240314</v>
      </c>
      <c r="B1280" s="171" t="s">
        <v>991</v>
      </c>
      <c r="C1280" s="174" t="s">
        <v>2311</v>
      </c>
      <c r="D1280" s="178" t="s">
        <v>1123</v>
      </c>
      <c r="E1280" s="180">
        <v>6167</v>
      </c>
      <c r="F1280" s="192">
        <v>0</v>
      </c>
    </row>
    <row r="1281" spans="1:6" ht="12">
      <c r="A1281" s="190">
        <v>240314</v>
      </c>
      <c r="B1281" s="171" t="s">
        <v>991</v>
      </c>
      <c r="C1281" s="174">
        <v>210168101</v>
      </c>
      <c r="D1281" s="178" t="s">
        <v>994</v>
      </c>
      <c r="E1281" s="180">
        <v>13666</v>
      </c>
      <c r="F1281" s="192">
        <v>0</v>
      </c>
    </row>
    <row r="1282" spans="1:6" ht="12">
      <c r="A1282" s="190">
        <v>240314</v>
      </c>
      <c r="B1282" s="171" t="s">
        <v>991</v>
      </c>
      <c r="C1282" s="174" t="s">
        <v>2312</v>
      </c>
      <c r="D1282" s="178" t="s">
        <v>1812</v>
      </c>
      <c r="E1282" s="180">
        <v>1803</v>
      </c>
      <c r="F1282" s="192">
        <v>0</v>
      </c>
    </row>
    <row r="1283" spans="1:6" ht="12">
      <c r="A1283" s="190">
        <v>240314</v>
      </c>
      <c r="B1283" s="171" t="s">
        <v>991</v>
      </c>
      <c r="C1283" s="174" t="s">
        <v>2313</v>
      </c>
      <c r="D1283" s="178" t="s">
        <v>2314</v>
      </c>
      <c r="E1283" s="180">
        <v>1600</v>
      </c>
      <c r="F1283" s="192">
        <v>0</v>
      </c>
    </row>
    <row r="1284" spans="1:6" ht="12">
      <c r="A1284" s="190">
        <v>240314</v>
      </c>
      <c r="B1284" s="171" t="s">
        <v>991</v>
      </c>
      <c r="C1284" s="174" t="s">
        <v>2315</v>
      </c>
      <c r="D1284" s="178" t="s">
        <v>2316</v>
      </c>
      <c r="E1284" s="180">
        <v>7349</v>
      </c>
      <c r="F1284" s="192">
        <v>0</v>
      </c>
    </row>
    <row r="1285" spans="1:6" ht="12">
      <c r="A1285" s="190">
        <v>240314</v>
      </c>
      <c r="B1285" s="171" t="s">
        <v>991</v>
      </c>
      <c r="C1285" s="174">
        <v>215268152</v>
      </c>
      <c r="D1285" s="178" t="s">
        <v>2317</v>
      </c>
      <c r="E1285" s="180">
        <v>4709</v>
      </c>
      <c r="F1285" s="192">
        <v>0</v>
      </c>
    </row>
    <row r="1286" spans="1:6" ht="12">
      <c r="A1286" s="190">
        <v>240314</v>
      </c>
      <c r="B1286" s="171" t="s">
        <v>991</v>
      </c>
      <c r="C1286" s="174">
        <v>216068160</v>
      </c>
      <c r="D1286" s="178" t="s">
        <v>2318</v>
      </c>
      <c r="E1286" s="180">
        <v>2260</v>
      </c>
      <c r="F1286" s="192">
        <v>0</v>
      </c>
    </row>
    <row r="1287" spans="1:6" ht="12">
      <c r="A1287" s="190">
        <v>240314</v>
      </c>
      <c r="B1287" s="171" t="s">
        <v>991</v>
      </c>
      <c r="C1287" s="174">
        <v>216268162</v>
      </c>
      <c r="D1287" s="178" t="s">
        <v>2319</v>
      </c>
      <c r="E1287" s="180">
        <v>7093</v>
      </c>
      <c r="F1287" s="192">
        <v>0</v>
      </c>
    </row>
    <row r="1288" spans="1:6" ht="12">
      <c r="A1288" s="190">
        <v>240314</v>
      </c>
      <c r="B1288" s="171" t="s">
        <v>991</v>
      </c>
      <c r="C1288" s="174" t="s">
        <v>2320</v>
      </c>
      <c r="D1288" s="178" t="s">
        <v>2321</v>
      </c>
      <c r="E1288" s="180">
        <v>16526</v>
      </c>
      <c r="F1288" s="192">
        <v>0</v>
      </c>
    </row>
    <row r="1289" spans="1:6" ht="12">
      <c r="A1289" s="190">
        <v>240314</v>
      </c>
      <c r="B1289" s="171" t="s">
        <v>991</v>
      </c>
      <c r="C1289" s="174" t="s">
        <v>2322</v>
      </c>
      <c r="D1289" s="178" t="s">
        <v>2323</v>
      </c>
      <c r="E1289" s="180">
        <v>2393</v>
      </c>
      <c r="F1289" s="192">
        <v>0</v>
      </c>
    </row>
    <row r="1290" spans="1:6" ht="12">
      <c r="A1290" s="190">
        <v>240314</v>
      </c>
      <c r="B1290" s="171" t="s">
        <v>991</v>
      </c>
      <c r="C1290" s="174" t="s">
        <v>2324</v>
      </c>
      <c r="D1290" s="178" t="s">
        <v>1760</v>
      </c>
      <c r="E1290" s="180">
        <v>3494</v>
      </c>
      <c r="F1290" s="192">
        <v>0</v>
      </c>
    </row>
    <row r="1291" spans="1:6" ht="12">
      <c r="A1291" s="190">
        <v>240314</v>
      </c>
      <c r="B1291" s="171" t="s">
        <v>991</v>
      </c>
      <c r="C1291" s="174" t="s">
        <v>2325</v>
      </c>
      <c r="D1291" s="178" t="s">
        <v>2326</v>
      </c>
      <c r="E1291" s="180">
        <v>4793</v>
      </c>
      <c r="F1291" s="192">
        <v>0</v>
      </c>
    </row>
    <row r="1292" spans="1:6" ht="12">
      <c r="A1292" s="190">
        <v>240314</v>
      </c>
      <c r="B1292" s="171" t="s">
        <v>991</v>
      </c>
      <c r="C1292" s="174" t="s">
        <v>2327</v>
      </c>
      <c r="D1292" s="178" t="s">
        <v>2328</v>
      </c>
      <c r="E1292" s="180">
        <v>38407</v>
      </c>
      <c r="F1292" s="192">
        <v>0</v>
      </c>
    </row>
    <row r="1293" spans="1:6" ht="12">
      <c r="A1293" s="190">
        <v>240314</v>
      </c>
      <c r="B1293" s="171" t="s">
        <v>991</v>
      </c>
      <c r="C1293" s="174" t="s">
        <v>2329</v>
      </c>
      <c r="D1293" s="178" t="s">
        <v>1155</v>
      </c>
      <c r="E1293" s="180">
        <v>5731</v>
      </c>
      <c r="F1293" s="192">
        <v>0</v>
      </c>
    </row>
    <row r="1294" spans="1:6" ht="12">
      <c r="A1294" s="190">
        <v>240314</v>
      </c>
      <c r="B1294" s="171" t="s">
        <v>991</v>
      </c>
      <c r="C1294" s="174" t="s">
        <v>2330</v>
      </c>
      <c r="D1294" s="178" t="s">
        <v>2331</v>
      </c>
      <c r="E1294" s="180">
        <v>2376</v>
      </c>
      <c r="F1294" s="192">
        <v>0</v>
      </c>
    </row>
    <row r="1295" spans="1:6" ht="12">
      <c r="A1295" s="190">
        <v>240314</v>
      </c>
      <c r="B1295" s="171" t="s">
        <v>991</v>
      </c>
      <c r="C1295" s="174" t="s">
        <v>2332</v>
      </c>
      <c r="D1295" s="178" t="s">
        <v>2333</v>
      </c>
      <c r="E1295" s="180">
        <v>5122</v>
      </c>
      <c r="F1295" s="192">
        <v>0</v>
      </c>
    </row>
    <row r="1296" spans="1:6" ht="12">
      <c r="A1296" s="190">
        <v>240314</v>
      </c>
      <c r="B1296" s="171" t="s">
        <v>991</v>
      </c>
      <c r="C1296" s="174" t="s">
        <v>2334</v>
      </c>
      <c r="D1296" s="178" t="s">
        <v>2335</v>
      </c>
      <c r="E1296" s="180">
        <v>6601</v>
      </c>
      <c r="F1296" s="192">
        <v>0</v>
      </c>
    </row>
    <row r="1297" spans="1:6" ht="12">
      <c r="A1297" s="190">
        <v>240314</v>
      </c>
      <c r="B1297" s="171" t="s">
        <v>991</v>
      </c>
      <c r="C1297" s="174">
        <v>212968229</v>
      </c>
      <c r="D1297" s="178" t="s">
        <v>2336</v>
      </c>
      <c r="E1297" s="180">
        <v>11505</v>
      </c>
      <c r="F1297" s="192">
        <v>0</v>
      </c>
    </row>
    <row r="1298" spans="1:6" ht="12">
      <c r="A1298" s="190">
        <v>240314</v>
      </c>
      <c r="B1298" s="171" t="s">
        <v>991</v>
      </c>
      <c r="C1298" s="174" t="s">
        <v>2337</v>
      </c>
      <c r="D1298" s="178" t="s">
        <v>2031</v>
      </c>
      <c r="E1298" s="180">
        <v>20763</v>
      </c>
      <c r="F1298" s="192">
        <v>0</v>
      </c>
    </row>
    <row r="1299" spans="1:6" ht="12">
      <c r="A1299" s="190">
        <v>240314</v>
      </c>
      <c r="B1299" s="171" t="s">
        <v>991</v>
      </c>
      <c r="C1299" s="174" t="s">
        <v>2338</v>
      </c>
      <c r="D1299" s="178" t="s">
        <v>2339</v>
      </c>
      <c r="E1299" s="180">
        <v>2670</v>
      </c>
      <c r="F1299" s="192">
        <v>0</v>
      </c>
    </row>
    <row r="1300" spans="1:6" ht="12">
      <c r="A1300" s="190">
        <v>240314</v>
      </c>
      <c r="B1300" s="171" t="s">
        <v>991</v>
      </c>
      <c r="C1300" s="174" t="s">
        <v>2340</v>
      </c>
      <c r="D1300" s="178" t="s">
        <v>2341</v>
      </c>
      <c r="E1300" s="180">
        <v>6832</v>
      </c>
      <c r="F1300" s="192">
        <v>0</v>
      </c>
    </row>
    <row r="1301" spans="1:6" ht="12">
      <c r="A1301" s="190">
        <v>240314</v>
      </c>
      <c r="B1301" s="171" t="s">
        <v>991</v>
      </c>
      <c r="C1301" s="174" t="s">
        <v>2342</v>
      </c>
      <c r="D1301" s="178" t="s">
        <v>2343</v>
      </c>
      <c r="E1301" s="180">
        <v>15544</v>
      </c>
      <c r="F1301" s="192">
        <v>0</v>
      </c>
    </row>
    <row r="1302" spans="1:6" ht="12">
      <c r="A1302" s="190">
        <v>240314</v>
      </c>
      <c r="B1302" s="171" t="s">
        <v>991</v>
      </c>
      <c r="C1302" s="174" t="s">
        <v>2344</v>
      </c>
      <c r="D1302" s="178" t="s">
        <v>2345</v>
      </c>
      <c r="E1302" s="180">
        <v>3281</v>
      </c>
      <c r="F1302" s="192">
        <v>0</v>
      </c>
    </row>
    <row r="1303" spans="1:6" ht="12">
      <c r="A1303" s="190">
        <v>240314</v>
      </c>
      <c r="B1303" s="171" t="s">
        <v>991</v>
      </c>
      <c r="C1303" s="174" t="s">
        <v>2346</v>
      </c>
      <c r="D1303" s="178" t="s">
        <v>2347</v>
      </c>
      <c r="E1303" s="180">
        <v>4578</v>
      </c>
      <c r="F1303" s="192">
        <v>0</v>
      </c>
    </row>
    <row r="1304" spans="1:6" ht="12">
      <c r="A1304" s="190">
        <v>240314</v>
      </c>
      <c r="B1304" s="171" t="s">
        <v>991</v>
      </c>
      <c r="C1304" s="174" t="s">
        <v>2348</v>
      </c>
      <c r="D1304" s="178" t="s">
        <v>2349</v>
      </c>
      <c r="E1304" s="180">
        <v>8884</v>
      </c>
      <c r="F1304" s="192">
        <v>0</v>
      </c>
    </row>
    <row r="1305" spans="1:6" ht="12">
      <c r="A1305" s="190">
        <v>240314</v>
      </c>
      <c r="B1305" s="171" t="s">
        <v>991</v>
      </c>
      <c r="C1305" s="174" t="s">
        <v>2350</v>
      </c>
      <c r="D1305" s="178" t="s">
        <v>2351</v>
      </c>
      <c r="E1305" s="180">
        <v>3208</v>
      </c>
      <c r="F1305" s="192">
        <v>0</v>
      </c>
    </row>
    <row r="1306" spans="1:6" ht="12">
      <c r="A1306" s="190">
        <v>240314</v>
      </c>
      <c r="B1306" s="171" t="s">
        <v>991</v>
      </c>
      <c r="C1306" s="174" t="s">
        <v>2352</v>
      </c>
      <c r="D1306" s="178" t="s">
        <v>2353</v>
      </c>
      <c r="E1306" s="180">
        <v>5076</v>
      </c>
      <c r="F1306" s="192">
        <v>0</v>
      </c>
    </row>
    <row r="1307" spans="1:6" ht="12">
      <c r="A1307" s="190">
        <v>240314</v>
      </c>
      <c r="B1307" s="171" t="s">
        <v>991</v>
      </c>
      <c r="C1307" s="174" t="s">
        <v>2354</v>
      </c>
      <c r="D1307" s="178" t="s">
        <v>2355</v>
      </c>
      <c r="E1307" s="180">
        <v>6884</v>
      </c>
      <c r="F1307" s="192">
        <v>0</v>
      </c>
    </row>
    <row r="1308" spans="1:6" ht="12">
      <c r="A1308" s="190">
        <v>240314</v>
      </c>
      <c r="B1308" s="171" t="s">
        <v>991</v>
      </c>
      <c r="C1308" s="174" t="s">
        <v>2356</v>
      </c>
      <c r="D1308" s="178" t="s">
        <v>1181</v>
      </c>
      <c r="E1308" s="180">
        <v>7206</v>
      </c>
      <c r="F1308" s="192">
        <v>0</v>
      </c>
    </row>
    <row r="1309" spans="1:6" ht="12">
      <c r="A1309" s="190">
        <v>240314</v>
      </c>
      <c r="B1309" s="171" t="s">
        <v>991</v>
      </c>
      <c r="C1309" s="174">
        <v>212268322</v>
      </c>
      <c r="D1309" s="178" t="s">
        <v>2357</v>
      </c>
      <c r="E1309" s="180">
        <v>2912</v>
      </c>
      <c r="F1309" s="192">
        <v>0</v>
      </c>
    </row>
    <row r="1310" spans="1:6" ht="12">
      <c r="A1310" s="190">
        <v>240314</v>
      </c>
      <c r="B1310" s="171" t="s">
        <v>991</v>
      </c>
      <c r="C1310" s="174" t="s">
        <v>2358</v>
      </c>
      <c r="D1310" s="178" t="s">
        <v>2359</v>
      </c>
      <c r="E1310" s="180">
        <v>4446</v>
      </c>
      <c r="F1310" s="192">
        <v>0</v>
      </c>
    </row>
    <row r="1311" spans="1:6" ht="12">
      <c r="A1311" s="190">
        <v>240314</v>
      </c>
      <c r="B1311" s="171" t="s">
        <v>991</v>
      </c>
      <c r="C1311" s="174">
        <v>212768327</v>
      </c>
      <c r="D1311" s="178" t="s">
        <v>2360</v>
      </c>
      <c r="E1311" s="180">
        <v>5344</v>
      </c>
      <c r="F1311" s="192">
        <v>0</v>
      </c>
    </row>
    <row r="1312" spans="1:6" ht="12">
      <c r="A1312" s="190">
        <v>240314</v>
      </c>
      <c r="B1312" s="171" t="s">
        <v>991</v>
      </c>
      <c r="C1312" s="200" t="s">
        <v>2361</v>
      </c>
      <c r="D1312" s="178" t="s">
        <v>2362</v>
      </c>
      <c r="E1312" s="180">
        <v>1638</v>
      </c>
      <c r="F1312" s="192">
        <v>0</v>
      </c>
    </row>
    <row r="1313" spans="1:6" ht="12">
      <c r="A1313" s="190">
        <v>240314</v>
      </c>
      <c r="B1313" s="171" t="s">
        <v>991</v>
      </c>
      <c r="C1313" s="200" t="s">
        <v>2363</v>
      </c>
      <c r="D1313" s="178" t="s">
        <v>2364</v>
      </c>
      <c r="E1313" s="180">
        <v>4971</v>
      </c>
      <c r="F1313" s="192">
        <v>0</v>
      </c>
    </row>
    <row r="1314" spans="1:6" ht="12">
      <c r="A1314" s="190">
        <v>240314</v>
      </c>
      <c r="B1314" s="171" t="s">
        <v>991</v>
      </c>
      <c r="C1314" s="200" t="s">
        <v>2365</v>
      </c>
      <c r="D1314" s="178" t="s">
        <v>2366</v>
      </c>
      <c r="E1314" s="180">
        <v>1565</v>
      </c>
      <c r="F1314" s="192">
        <v>0</v>
      </c>
    </row>
    <row r="1315" spans="1:6" ht="12">
      <c r="A1315" s="190">
        <v>240314</v>
      </c>
      <c r="B1315" s="171" t="s">
        <v>991</v>
      </c>
      <c r="C1315" s="200" t="s">
        <v>2367</v>
      </c>
      <c r="D1315" s="178" t="s">
        <v>2368</v>
      </c>
      <c r="E1315" s="180">
        <v>8574</v>
      </c>
      <c r="F1315" s="192">
        <v>0</v>
      </c>
    </row>
    <row r="1316" spans="1:6" ht="12">
      <c r="A1316" s="190">
        <v>240314</v>
      </c>
      <c r="B1316" s="171" t="s">
        <v>991</v>
      </c>
      <c r="C1316" s="202">
        <v>218568385</v>
      </c>
      <c r="D1316" s="178" t="s">
        <v>2369</v>
      </c>
      <c r="E1316" s="180">
        <v>15093</v>
      </c>
      <c r="F1316" s="192">
        <v>0</v>
      </c>
    </row>
    <row r="1317" spans="1:6" ht="12">
      <c r="A1317" s="190">
        <v>240314</v>
      </c>
      <c r="B1317" s="171" t="s">
        <v>991</v>
      </c>
      <c r="C1317" s="200">
        <v>219768397</v>
      </c>
      <c r="D1317" s="178" t="s">
        <v>1744</v>
      </c>
      <c r="E1317" s="180">
        <v>5268</v>
      </c>
      <c r="F1317" s="192">
        <v>0</v>
      </c>
    </row>
    <row r="1318" spans="1:6" ht="12">
      <c r="A1318" s="190">
        <v>240314</v>
      </c>
      <c r="B1318" s="171" t="s">
        <v>991</v>
      </c>
      <c r="C1318" s="200" t="s">
        <v>2370</v>
      </c>
      <c r="D1318" s="178" t="s">
        <v>2371</v>
      </c>
      <c r="E1318" s="180">
        <v>33198</v>
      </c>
      <c r="F1318" s="192">
        <v>0</v>
      </c>
    </row>
    <row r="1319" spans="1:6" ht="12">
      <c r="A1319" s="190">
        <v>240314</v>
      </c>
      <c r="B1319" s="171" t="s">
        <v>991</v>
      </c>
      <c r="C1319" s="200" t="s">
        <v>2372</v>
      </c>
      <c r="D1319" s="178" t="s">
        <v>2373</v>
      </c>
      <c r="E1319" s="180">
        <v>11375</v>
      </c>
      <c r="F1319" s="192">
        <v>0</v>
      </c>
    </row>
    <row r="1320" spans="1:6" ht="12">
      <c r="A1320" s="190">
        <v>240314</v>
      </c>
      <c r="B1320" s="171" t="s">
        <v>991</v>
      </c>
      <c r="C1320" s="200" t="s">
        <v>2374</v>
      </c>
      <c r="D1320" s="178" t="s">
        <v>2375</v>
      </c>
      <c r="E1320" s="180">
        <v>3177</v>
      </c>
      <c r="F1320" s="192">
        <v>0</v>
      </c>
    </row>
    <row r="1321" spans="1:6" ht="12">
      <c r="A1321" s="190">
        <v>240314</v>
      </c>
      <c r="B1321" s="171" t="s">
        <v>991</v>
      </c>
      <c r="C1321" s="200" t="s">
        <v>2376</v>
      </c>
      <c r="D1321" s="178" t="s">
        <v>2377</v>
      </c>
      <c r="E1321" s="180">
        <v>27288</v>
      </c>
      <c r="F1321" s="192">
        <v>0</v>
      </c>
    </row>
    <row r="1322" spans="1:6" ht="12">
      <c r="A1322" s="190">
        <v>240314</v>
      </c>
      <c r="B1322" s="171" t="s">
        <v>991</v>
      </c>
      <c r="C1322" s="200" t="s">
        <v>2378</v>
      </c>
      <c r="D1322" s="178" t="s">
        <v>2379</v>
      </c>
      <c r="E1322" s="180">
        <v>6929</v>
      </c>
      <c r="F1322" s="192">
        <v>0</v>
      </c>
    </row>
    <row r="1323" spans="1:6" ht="12">
      <c r="A1323" s="190">
        <v>240314</v>
      </c>
      <c r="B1323" s="171" t="s">
        <v>991</v>
      </c>
      <c r="C1323" s="200" t="s">
        <v>2380</v>
      </c>
      <c r="D1323" s="178" t="s">
        <v>2381</v>
      </c>
      <c r="E1323" s="180">
        <v>13171</v>
      </c>
      <c r="F1323" s="192">
        <v>0</v>
      </c>
    </row>
    <row r="1324" spans="1:6" ht="12">
      <c r="A1324" s="190">
        <v>240314</v>
      </c>
      <c r="B1324" s="171" t="s">
        <v>991</v>
      </c>
      <c r="C1324" s="200" t="s">
        <v>2382</v>
      </c>
      <c r="D1324" s="178" t="s">
        <v>2383</v>
      </c>
      <c r="E1324" s="180">
        <v>4662</v>
      </c>
      <c r="F1324" s="192">
        <v>0</v>
      </c>
    </row>
    <row r="1325" spans="1:6" ht="12">
      <c r="A1325" s="190">
        <v>240314</v>
      </c>
      <c r="B1325" s="171" t="s">
        <v>991</v>
      </c>
      <c r="C1325" s="200" t="s">
        <v>2384</v>
      </c>
      <c r="D1325" s="178" t="s">
        <v>2385</v>
      </c>
      <c r="E1325" s="180">
        <v>5147</v>
      </c>
      <c r="F1325" s="192">
        <v>0</v>
      </c>
    </row>
    <row r="1326" spans="1:6" ht="12">
      <c r="A1326" s="190">
        <v>240314</v>
      </c>
      <c r="B1326" s="171" t="s">
        <v>991</v>
      </c>
      <c r="C1326" s="200" t="s">
        <v>2386</v>
      </c>
      <c r="D1326" s="178" t="s">
        <v>2387</v>
      </c>
      <c r="E1326" s="180">
        <v>14240</v>
      </c>
      <c r="F1326" s="192">
        <v>0</v>
      </c>
    </row>
    <row r="1327" spans="1:6" ht="12">
      <c r="A1327" s="190">
        <v>240314</v>
      </c>
      <c r="B1327" s="171" t="s">
        <v>991</v>
      </c>
      <c r="C1327" s="200" t="s">
        <v>2388</v>
      </c>
      <c r="D1327" s="178" t="s">
        <v>2389</v>
      </c>
      <c r="E1327" s="180">
        <v>5755</v>
      </c>
      <c r="F1327" s="192">
        <v>0</v>
      </c>
    </row>
    <row r="1328" spans="1:6" ht="12">
      <c r="A1328" s="190">
        <v>240314</v>
      </c>
      <c r="B1328" s="171" t="s">
        <v>991</v>
      </c>
      <c r="C1328" s="200" t="s">
        <v>2390</v>
      </c>
      <c r="D1328" s="178" t="s">
        <v>2391</v>
      </c>
      <c r="E1328" s="180">
        <v>2058</v>
      </c>
      <c r="F1328" s="192">
        <v>0</v>
      </c>
    </row>
    <row r="1329" spans="1:6" ht="12">
      <c r="A1329" s="190">
        <v>240314</v>
      </c>
      <c r="B1329" s="171" t="s">
        <v>991</v>
      </c>
      <c r="C1329" s="200" t="s">
        <v>2392</v>
      </c>
      <c r="D1329" s="178" t="s">
        <v>2393</v>
      </c>
      <c r="E1329" s="180">
        <v>2674</v>
      </c>
      <c r="F1329" s="192">
        <v>0</v>
      </c>
    </row>
    <row r="1330" spans="1:6" ht="12">
      <c r="A1330" s="190">
        <v>240314</v>
      </c>
      <c r="B1330" s="171" t="s">
        <v>991</v>
      </c>
      <c r="C1330" s="200" t="s">
        <v>2394</v>
      </c>
      <c r="D1330" s="178" t="s">
        <v>2395</v>
      </c>
      <c r="E1330" s="180">
        <v>3737</v>
      </c>
      <c r="F1330" s="192">
        <v>0</v>
      </c>
    </row>
    <row r="1331" spans="1:6" ht="12">
      <c r="A1331" s="190">
        <v>240314</v>
      </c>
      <c r="B1331" s="171" t="s">
        <v>991</v>
      </c>
      <c r="C1331" s="200" t="s">
        <v>2396</v>
      </c>
      <c r="D1331" s="178" t="s">
        <v>2397</v>
      </c>
      <c r="E1331" s="180">
        <v>121058</v>
      </c>
      <c r="F1331" s="192">
        <v>0</v>
      </c>
    </row>
    <row r="1332" spans="1:6" ht="12">
      <c r="A1332" s="190">
        <v>240314</v>
      </c>
      <c r="B1332" s="171" t="s">
        <v>991</v>
      </c>
      <c r="C1332" s="200" t="s">
        <v>2398</v>
      </c>
      <c r="D1332" s="178" t="s">
        <v>2399</v>
      </c>
      <c r="E1332" s="180">
        <v>4521</v>
      </c>
      <c r="F1332" s="192">
        <v>0</v>
      </c>
    </row>
    <row r="1333" spans="1:6" ht="12">
      <c r="A1333" s="190">
        <v>240314</v>
      </c>
      <c r="B1333" s="171" t="s">
        <v>991</v>
      </c>
      <c r="C1333" s="200" t="s">
        <v>2400</v>
      </c>
      <c r="D1333" s="178" t="s">
        <v>2401</v>
      </c>
      <c r="E1333" s="180">
        <v>22056</v>
      </c>
      <c r="F1333" s="192">
        <v>0</v>
      </c>
    </row>
    <row r="1334" spans="1:6" ht="12">
      <c r="A1334" s="190">
        <v>240314</v>
      </c>
      <c r="B1334" s="171" t="s">
        <v>991</v>
      </c>
      <c r="C1334" s="200" t="s">
        <v>2402</v>
      </c>
      <c r="D1334" s="178" t="s">
        <v>2403</v>
      </c>
      <c r="E1334" s="180">
        <v>8778</v>
      </c>
      <c r="F1334" s="192">
        <v>0</v>
      </c>
    </row>
    <row r="1335" spans="1:6" ht="12">
      <c r="A1335" s="190">
        <v>240314</v>
      </c>
      <c r="B1335" s="171" t="s">
        <v>991</v>
      </c>
      <c r="C1335" s="200" t="s">
        <v>2404</v>
      </c>
      <c r="D1335" s="178" t="s">
        <v>2405</v>
      </c>
      <c r="E1335" s="180">
        <v>49735</v>
      </c>
      <c r="F1335" s="192">
        <v>0</v>
      </c>
    </row>
    <row r="1336" spans="1:6" ht="12">
      <c r="A1336" s="190">
        <v>240314</v>
      </c>
      <c r="B1336" s="171" t="s">
        <v>991</v>
      </c>
      <c r="C1336" s="200" t="s">
        <v>2406</v>
      </c>
      <c r="D1336" s="178" t="s">
        <v>1239</v>
      </c>
      <c r="E1336" s="180">
        <v>36143</v>
      </c>
      <c r="F1336" s="192">
        <v>0</v>
      </c>
    </row>
    <row r="1337" spans="1:6" ht="12">
      <c r="A1337" s="190">
        <v>240314</v>
      </c>
      <c r="B1337" s="171" t="s">
        <v>991</v>
      </c>
      <c r="C1337" s="200" t="s">
        <v>2407</v>
      </c>
      <c r="D1337" s="178" t="s">
        <v>2408</v>
      </c>
      <c r="E1337" s="180">
        <v>26837</v>
      </c>
      <c r="F1337" s="192">
        <v>0</v>
      </c>
    </row>
    <row r="1338" spans="1:6" ht="12">
      <c r="A1338" s="190">
        <v>240314</v>
      </c>
      <c r="B1338" s="171" t="s">
        <v>991</v>
      </c>
      <c r="C1338" s="200" t="s">
        <v>2409</v>
      </c>
      <c r="D1338" s="178" t="s">
        <v>1017</v>
      </c>
      <c r="E1338" s="180">
        <v>12460</v>
      </c>
      <c r="F1338" s="192">
        <v>0</v>
      </c>
    </row>
    <row r="1339" spans="1:6" ht="12">
      <c r="A1339" s="190">
        <v>240314</v>
      </c>
      <c r="B1339" s="171" t="s">
        <v>991</v>
      </c>
      <c r="C1339" s="200" t="s">
        <v>2410</v>
      </c>
      <c r="D1339" s="178" t="s">
        <v>2411</v>
      </c>
      <c r="E1339" s="180">
        <v>3492</v>
      </c>
      <c r="F1339" s="192">
        <v>0</v>
      </c>
    </row>
    <row r="1340" spans="1:6" ht="12">
      <c r="A1340" s="190">
        <v>240314</v>
      </c>
      <c r="B1340" s="171" t="s">
        <v>991</v>
      </c>
      <c r="C1340" s="200" t="s">
        <v>2412</v>
      </c>
      <c r="D1340" s="178" t="s">
        <v>2413</v>
      </c>
      <c r="E1340" s="180">
        <v>48716</v>
      </c>
      <c r="F1340" s="192">
        <v>0</v>
      </c>
    </row>
    <row r="1341" spans="1:6" ht="12">
      <c r="A1341" s="190">
        <v>240314</v>
      </c>
      <c r="B1341" s="171" t="s">
        <v>991</v>
      </c>
      <c r="C1341" s="200" t="s">
        <v>2414</v>
      </c>
      <c r="D1341" s="178" t="s">
        <v>2415</v>
      </c>
      <c r="E1341" s="180">
        <v>2889</v>
      </c>
      <c r="F1341" s="192">
        <v>0</v>
      </c>
    </row>
    <row r="1342" spans="1:6" ht="12">
      <c r="A1342" s="190">
        <v>240314</v>
      </c>
      <c r="B1342" s="171" t="s">
        <v>991</v>
      </c>
      <c r="C1342" s="200" t="s">
        <v>2416</v>
      </c>
      <c r="D1342" s="178" t="s">
        <v>2417</v>
      </c>
      <c r="E1342" s="180">
        <v>5174</v>
      </c>
      <c r="F1342" s="192">
        <v>0</v>
      </c>
    </row>
    <row r="1343" spans="1:6" ht="12">
      <c r="A1343" s="190">
        <v>240314</v>
      </c>
      <c r="B1343" s="171" t="s">
        <v>991</v>
      </c>
      <c r="C1343" s="200" t="s">
        <v>2418</v>
      </c>
      <c r="D1343" s="178" t="s">
        <v>2419</v>
      </c>
      <c r="E1343" s="180">
        <v>3774</v>
      </c>
      <c r="F1343" s="192">
        <v>0</v>
      </c>
    </row>
    <row r="1344" spans="1:6" ht="12">
      <c r="A1344" s="190">
        <v>240314</v>
      </c>
      <c r="B1344" s="171" t="s">
        <v>991</v>
      </c>
      <c r="C1344" s="200">
        <v>218968689</v>
      </c>
      <c r="D1344" s="178" t="s">
        <v>2420</v>
      </c>
      <c r="E1344" s="180">
        <v>40278</v>
      </c>
      <c r="F1344" s="192">
        <v>0</v>
      </c>
    </row>
    <row r="1345" spans="1:6" ht="12">
      <c r="A1345" s="190">
        <v>240314</v>
      </c>
      <c r="B1345" s="171" t="s">
        <v>991</v>
      </c>
      <c r="C1345" s="200" t="s">
        <v>2421</v>
      </c>
      <c r="D1345" s="178" t="s">
        <v>1269</v>
      </c>
      <c r="E1345" s="180">
        <v>2713</v>
      </c>
      <c r="F1345" s="192">
        <v>0</v>
      </c>
    </row>
    <row r="1346" spans="1:6" ht="12">
      <c r="A1346" s="190">
        <v>240314</v>
      </c>
      <c r="B1346" s="171" t="s">
        <v>991</v>
      </c>
      <c r="C1346" s="200" t="s">
        <v>2422</v>
      </c>
      <c r="D1346" s="178" t="s">
        <v>2423</v>
      </c>
      <c r="E1346" s="180">
        <v>5381</v>
      </c>
      <c r="F1346" s="192">
        <v>0</v>
      </c>
    </row>
    <row r="1347" spans="1:6" ht="12">
      <c r="A1347" s="190">
        <v>240314</v>
      </c>
      <c r="B1347" s="171" t="s">
        <v>991</v>
      </c>
      <c r="C1347" s="200" t="s">
        <v>2424</v>
      </c>
      <c r="D1347" s="178" t="s">
        <v>2425</v>
      </c>
      <c r="E1347" s="180">
        <v>11922</v>
      </c>
      <c r="F1347" s="192">
        <v>0</v>
      </c>
    </row>
    <row r="1348" spans="1:6" ht="12">
      <c r="A1348" s="190">
        <v>240314</v>
      </c>
      <c r="B1348" s="171" t="s">
        <v>991</v>
      </c>
      <c r="C1348" s="200" t="s">
        <v>2426</v>
      </c>
      <c r="D1348" s="178" t="s">
        <v>2427</v>
      </c>
      <c r="E1348" s="180">
        <v>32116</v>
      </c>
      <c r="F1348" s="192">
        <v>0</v>
      </c>
    </row>
    <row r="1349" spans="1:6" ht="12">
      <c r="A1349" s="190">
        <v>240314</v>
      </c>
      <c r="B1349" s="171" t="s">
        <v>991</v>
      </c>
      <c r="C1349" s="200" t="s">
        <v>2428</v>
      </c>
      <c r="D1349" s="178" t="s">
        <v>2429</v>
      </c>
      <c r="E1349" s="180">
        <v>12106</v>
      </c>
      <c r="F1349" s="192">
        <v>0</v>
      </c>
    </row>
    <row r="1350" spans="1:6" ht="12">
      <c r="A1350" s="190">
        <v>240314</v>
      </c>
      <c r="B1350" s="171" t="s">
        <v>991</v>
      </c>
      <c r="C1350" s="200" t="s">
        <v>2430</v>
      </c>
      <c r="D1350" s="178" t="s">
        <v>1011</v>
      </c>
      <c r="E1350" s="180">
        <v>9961</v>
      </c>
      <c r="F1350" s="192">
        <v>0</v>
      </c>
    </row>
    <row r="1351" spans="1:6" ht="12">
      <c r="A1351" s="190">
        <v>240314</v>
      </c>
      <c r="B1351" s="171" t="s">
        <v>991</v>
      </c>
      <c r="C1351" s="200" t="s">
        <v>2431</v>
      </c>
      <c r="D1351" s="178" t="s">
        <v>2432</v>
      </c>
      <c r="E1351" s="180">
        <v>4330</v>
      </c>
      <c r="F1351" s="192">
        <v>0</v>
      </c>
    </row>
    <row r="1352" spans="1:6" ht="12">
      <c r="A1352" s="190">
        <v>240314</v>
      </c>
      <c r="B1352" s="171" t="s">
        <v>991</v>
      </c>
      <c r="C1352" s="200" t="s">
        <v>2433</v>
      </c>
      <c r="D1352" s="178" t="s">
        <v>2434</v>
      </c>
      <c r="E1352" s="180">
        <v>6323</v>
      </c>
      <c r="F1352" s="192">
        <v>0</v>
      </c>
    </row>
    <row r="1353" spans="1:6" ht="12">
      <c r="A1353" s="190">
        <v>240314</v>
      </c>
      <c r="B1353" s="171" t="s">
        <v>991</v>
      </c>
      <c r="C1353" s="200">
        <v>215568855</v>
      </c>
      <c r="D1353" s="178" t="s">
        <v>2435</v>
      </c>
      <c r="E1353" s="180">
        <v>5224</v>
      </c>
      <c r="F1353" s="192">
        <v>0</v>
      </c>
    </row>
    <row r="1354" spans="1:6" ht="12">
      <c r="A1354" s="190">
        <v>240314</v>
      </c>
      <c r="B1354" s="171" t="s">
        <v>991</v>
      </c>
      <c r="C1354" s="200" t="s">
        <v>2436</v>
      </c>
      <c r="D1354" s="178" t="s">
        <v>2437</v>
      </c>
      <c r="E1354" s="180">
        <v>24398</v>
      </c>
      <c r="F1354" s="192">
        <v>0</v>
      </c>
    </row>
    <row r="1355" spans="1:6" ht="12">
      <c r="A1355" s="190">
        <v>240314</v>
      </c>
      <c r="B1355" s="171" t="s">
        <v>991</v>
      </c>
      <c r="C1355" s="200" t="s">
        <v>2438</v>
      </c>
      <c r="D1355" s="178" t="s">
        <v>2439</v>
      </c>
      <c r="E1355" s="180">
        <v>1695</v>
      </c>
      <c r="F1355" s="192">
        <v>0</v>
      </c>
    </row>
    <row r="1356" spans="1:6" ht="12">
      <c r="A1356" s="190">
        <v>240314</v>
      </c>
      <c r="B1356" s="171" t="s">
        <v>991</v>
      </c>
      <c r="C1356" s="200" t="s">
        <v>2440</v>
      </c>
      <c r="D1356" s="178" t="s">
        <v>1427</v>
      </c>
      <c r="E1356" s="180">
        <v>6444</v>
      </c>
      <c r="F1356" s="192">
        <v>0</v>
      </c>
    </row>
    <row r="1357" spans="1:6" ht="12">
      <c r="A1357" s="190">
        <v>240314</v>
      </c>
      <c r="B1357" s="171" t="s">
        <v>991</v>
      </c>
      <c r="C1357" s="200" t="s">
        <v>2441</v>
      </c>
      <c r="D1357" s="178" t="s">
        <v>2442</v>
      </c>
      <c r="E1357" s="180">
        <v>9007</v>
      </c>
      <c r="F1357" s="192">
        <v>0</v>
      </c>
    </row>
    <row r="1358" spans="1:6" ht="12">
      <c r="A1358" s="190">
        <v>240314</v>
      </c>
      <c r="B1358" s="171" t="s">
        <v>991</v>
      </c>
      <c r="C1358" s="200">
        <v>211070110</v>
      </c>
      <c r="D1358" s="178" t="s">
        <v>1448</v>
      </c>
      <c r="E1358" s="180">
        <v>17285</v>
      </c>
      <c r="F1358" s="192">
        <v>0</v>
      </c>
    </row>
    <row r="1359" spans="1:6" ht="12">
      <c r="A1359" s="190">
        <v>240314</v>
      </c>
      <c r="B1359" s="171" t="s">
        <v>991</v>
      </c>
      <c r="C1359" s="200">
        <v>212470124</v>
      </c>
      <c r="D1359" s="178" t="s">
        <v>2443</v>
      </c>
      <c r="E1359" s="180">
        <v>24595</v>
      </c>
      <c r="F1359" s="192">
        <v>0</v>
      </c>
    </row>
    <row r="1360" spans="1:6" ht="12">
      <c r="A1360" s="190">
        <v>240314</v>
      </c>
      <c r="B1360" s="171" t="s">
        <v>991</v>
      </c>
      <c r="C1360" s="200">
        <v>210470204</v>
      </c>
      <c r="D1360" s="178" t="s">
        <v>2444</v>
      </c>
      <c r="E1360" s="180">
        <v>12494</v>
      </c>
      <c r="F1360" s="192">
        <v>0</v>
      </c>
    </row>
    <row r="1361" spans="1:6" ht="12">
      <c r="A1361" s="190">
        <v>240314</v>
      </c>
      <c r="B1361" s="171" t="s">
        <v>991</v>
      </c>
      <c r="C1361" s="200">
        <v>211570215</v>
      </c>
      <c r="D1361" s="178" t="s">
        <v>2445</v>
      </c>
      <c r="E1361" s="180">
        <v>82968</v>
      </c>
      <c r="F1361" s="192">
        <v>0</v>
      </c>
    </row>
    <row r="1362" spans="1:6" ht="12">
      <c r="A1362" s="190">
        <v>240314</v>
      </c>
      <c r="B1362" s="171" t="s">
        <v>991</v>
      </c>
      <c r="C1362" s="200" t="s">
        <v>2446</v>
      </c>
      <c r="D1362" s="178" t="s">
        <v>2447</v>
      </c>
      <c r="E1362" s="180">
        <v>21633</v>
      </c>
      <c r="F1362" s="192">
        <v>0</v>
      </c>
    </row>
    <row r="1363" spans="1:6" ht="12">
      <c r="A1363" s="190">
        <v>240314</v>
      </c>
      <c r="B1363" s="171" t="s">
        <v>991</v>
      </c>
      <c r="C1363" s="200">
        <v>213070230</v>
      </c>
      <c r="D1363" s="178" t="s">
        <v>2448</v>
      </c>
      <c r="E1363" s="180">
        <v>8362</v>
      </c>
      <c r="F1363" s="192">
        <v>0</v>
      </c>
    </row>
    <row r="1364" spans="1:6" ht="12">
      <c r="A1364" s="190">
        <v>240314</v>
      </c>
      <c r="B1364" s="171" t="s">
        <v>991</v>
      </c>
      <c r="C1364" s="200">
        <v>213370233</v>
      </c>
      <c r="D1364" s="178" t="s">
        <v>2449</v>
      </c>
      <c r="E1364" s="180">
        <v>14224</v>
      </c>
      <c r="F1364" s="192">
        <v>0</v>
      </c>
    </row>
    <row r="1365" spans="1:6" ht="12">
      <c r="A1365" s="190">
        <v>240314</v>
      </c>
      <c r="B1365" s="171" t="s">
        <v>991</v>
      </c>
      <c r="C1365" s="200">
        <v>213570235</v>
      </c>
      <c r="D1365" s="178" t="s">
        <v>2450</v>
      </c>
      <c r="E1365" s="180">
        <v>32160</v>
      </c>
      <c r="F1365" s="192">
        <v>0</v>
      </c>
    </row>
    <row r="1366" spans="1:6" ht="12">
      <c r="A1366" s="190">
        <v>240314</v>
      </c>
      <c r="B1366" s="171" t="s">
        <v>991</v>
      </c>
      <c r="C1366" s="200">
        <v>216570265</v>
      </c>
      <c r="D1366" s="178" t="s">
        <v>2451</v>
      </c>
      <c r="E1366" s="180">
        <v>31396</v>
      </c>
      <c r="F1366" s="192">
        <v>0</v>
      </c>
    </row>
    <row r="1367" spans="1:6" ht="12">
      <c r="A1367" s="190">
        <v>240314</v>
      </c>
      <c r="B1367" s="171" t="s">
        <v>991</v>
      </c>
      <c r="C1367" s="200">
        <v>210070400</v>
      </c>
      <c r="D1367" s="178" t="s">
        <v>1202</v>
      </c>
      <c r="E1367" s="180">
        <v>21108</v>
      </c>
      <c r="F1367" s="192">
        <v>0</v>
      </c>
    </row>
    <row r="1368" spans="1:6" ht="12">
      <c r="A1368" s="190">
        <v>240314</v>
      </c>
      <c r="B1368" s="171" t="s">
        <v>991</v>
      </c>
      <c r="C1368" s="200">
        <v>211870418</v>
      </c>
      <c r="D1368" s="178" t="s">
        <v>2452</v>
      </c>
      <c r="E1368" s="180">
        <v>38544</v>
      </c>
      <c r="F1368" s="192">
        <v>0</v>
      </c>
    </row>
    <row r="1369" spans="1:6" ht="12">
      <c r="A1369" s="190">
        <v>240314</v>
      </c>
      <c r="B1369" s="171" t="s">
        <v>991</v>
      </c>
      <c r="C1369" s="200">
        <v>212970429</v>
      </c>
      <c r="D1369" s="178" t="s">
        <v>2453</v>
      </c>
      <c r="E1369" s="180">
        <v>74610</v>
      </c>
      <c r="F1369" s="192">
        <v>0</v>
      </c>
    </row>
    <row r="1370" spans="1:6" ht="12">
      <c r="A1370" s="190">
        <v>240314</v>
      </c>
      <c r="B1370" s="171" t="s">
        <v>991</v>
      </c>
      <c r="C1370" s="200">
        <v>217370473</v>
      </c>
      <c r="D1370" s="178" t="s">
        <v>2454</v>
      </c>
      <c r="E1370" s="180">
        <v>21341</v>
      </c>
      <c r="F1370" s="192">
        <v>0</v>
      </c>
    </row>
    <row r="1371" spans="1:6" ht="12">
      <c r="A1371" s="190">
        <v>240314</v>
      </c>
      <c r="B1371" s="171" t="s">
        <v>991</v>
      </c>
      <c r="C1371" s="200">
        <v>210870508</v>
      </c>
      <c r="D1371" s="178" t="s">
        <v>2455</v>
      </c>
      <c r="E1371" s="180">
        <v>38834</v>
      </c>
      <c r="F1371" s="192">
        <v>0</v>
      </c>
    </row>
    <row r="1372" spans="1:6" ht="12">
      <c r="A1372" s="190">
        <v>240314</v>
      </c>
      <c r="B1372" s="171" t="s">
        <v>991</v>
      </c>
      <c r="C1372" s="200">
        <v>212370523</v>
      </c>
      <c r="D1372" s="178" t="s">
        <v>2456</v>
      </c>
      <c r="E1372" s="180">
        <v>25182</v>
      </c>
      <c r="F1372" s="192">
        <v>0</v>
      </c>
    </row>
    <row r="1373" spans="1:6" ht="12">
      <c r="A1373" s="190">
        <v>240314</v>
      </c>
      <c r="B1373" s="171" t="s">
        <v>991</v>
      </c>
      <c r="C1373" s="200">
        <v>217070670</v>
      </c>
      <c r="D1373" s="178" t="s">
        <v>2457</v>
      </c>
      <c r="E1373" s="180">
        <v>70878</v>
      </c>
      <c r="F1373" s="192">
        <v>0</v>
      </c>
    </row>
    <row r="1374" spans="1:6" ht="12">
      <c r="A1374" s="190">
        <v>240314</v>
      </c>
      <c r="B1374" s="171" t="s">
        <v>991</v>
      </c>
      <c r="C1374" s="200">
        <v>217870678</v>
      </c>
      <c r="D1374" s="178" t="s">
        <v>2458</v>
      </c>
      <c r="E1374" s="180">
        <v>48796</v>
      </c>
      <c r="F1374" s="192">
        <v>0</v>
      </c>
    </row>
    <row r="1375" spans="1:6" ht="12">
      <c r="A1375" s="190">
        <v>240314</v>
      </c>
      <c r="B1375" s="171" t="s">
        <v>991</v>
      </c>
      <c r="C1375" s="200">
        <v>210270702</v>
      </c>
      <c r="D1375" s="178" t="s">
        <v>2459</v>
      </c>
      <c r="E1375" s="180">
        <v>20449</v>
      </c>
      <c r="F1375" s="192">
        <v>0</v>
      </c>
    </row>
    <row r="1376" spans="1:6" ht="12">
      <c r="A1376" s="190">
        <v>240314</v>
      </c>
      <c r="B1376" s="171" t="s">
        <v>991</v>
      </c>
      <c r="C1376" s="200">
        <v>210870708</v>
      </c>
      <c r="D1376" s="178" t="s">
        <v>2460</v>
      </c>
      <c r="E1376" s="180">
        <v>83538</v>
      </c>
      <c r="F1376" s="192">
        <v>0</v>
      </c>
    </row>
    <row r="1377" spans="1:6" ht="12">
      <c r="A1377" s="190">
        <v>240314</v>
      </c>
      <c r="B1377" s="171" t="s">
        <v>991</v>
      </c>
      <c r="C1377" s="200">
        <v>211370713</v>
      </c>
      <c r="D1377" s="178" t="s">
        <v>2461</v>
      </c>
      <c r="E1377" s="180">
        <v>98488</v>
      </c>
      <c r="F1377" s="192">
        <v>0</v>
      </c>
    </row>
    <row r="1378" spans="1:6" ht="12">
      <c r="A1378" s="190">
        <v>240314</v>
      </c>
      <c r="B1378" s="171" t="s">
        <v>991</v>
      </c>
      <c r="C1378" s="200">
        <v>211770717</v>
      </c>
      <c r="D1378" s="178" t="s">
        <v>1259</v>
      </c>
      <c r="E1378" s="180">
        <v>30167</v>
      </c>
      <c r="F1378" s="192">
        <v>0</v>
      </c>
    </row>
    <row r="1379" spans="1:6" ht="12">
      <c r="A1379" s="190">
        <v>240314</v>
      </c>
      <c r="B1379" s="171" t="s">
        <v>991</v>
      </c>
      <c r="C1379" s="200">
        <v>214270742</v>
      </c>
      <c r="D1379" s="178" t="s">
        <v>2462</v>
      </c>
      <c r="E1379" s="180">
        <v>42573</v>
      </c>
      <c r="F1379" s="192">
        <v>0</v>
      </c>
    </row>
    <row r="1380" spans="1:6" ht="12">
      <c r="A1380" s="190">
        <v>240314</v>
      </c>
      <c r="B1380" s="171" t="s">
        <v>991</v>
      </c>
      <c r="C1380" s="200">
        <v>217170771</v>
      </c>
      <c r="D1380" s="178" t="s">
        <v>1011</v>
      </c>
      <c r="E1380" s="180">
        <v>52251</v>
      </c>
      <c r="F1380" s="192">
        <v>0</v>
      </c>
    </row>
    <row r="1381" spans="1:6" ht="12">
      <c r="A1381" s="190">
        <v>240314</v>
      </c>
      <c r="B1381" s="171" t="s">
        <v>991</v>
      </c>
      <c r="C1381" s="200">
        <v>212070820</v>
      </c>
      <c r="D1381" s="178" t="s">
        <v>2463</v>
      </c>
      <c r="E1381" s="180">
        <v>40316</v>
      </c>
      <c r="F1381" s="192">
        <v>0</v>
      </c>
    </row>
    <row r="1382" spans="1:6" ht="12">
      <c r="A1382" s="190">
        <v>240314</v>
      </c>
      <c r="B1382" s="171" t="s">
        <v>991</v>
      </c>
      <c r="C1382" s="200">
        <v>212370823</v>
      </c>
      <c r="D1382" s="178" t="s">
        <v>2464</v>
      </c>
      <c r="E1382" s="180">
        <v>34921</v>
      </c>
      <c r="F1382" s="192">
        <v>0</v>
      </c>
    </row>
    <row r="1383" spans="1:6" ht="12">
      <c r="A1383" s="190">
        <v>240314</v>
      </c>
      <c r="B1383" s="171" t="s">
        <v>991</v>
      </c>
      <c r="C1383" s="200">
        <v>212473024</v>
      </c>
      <c r="D1383" s="178" t="s">
        <v>2465</v>
      </c>
      <c r="E1383" s="180">
        <v>5833</v>
      </c>
      <c r="F1383" s="192">
        <v>0</v>
      </c>
    </row>
    <row r="1384" spans="1:6" ht="12">
      <c r="A1384" s="190">
        <v>240314</v>
      </c>
      <c r="B1384" s="171" t="s">
        <v>991</v>
      </c>
      <c r="C1384" s="200">
        <v>212673026</v>
      </c>
      <c r="D1384" s="178" t="s">
        <v>2466</v>
      </c>
      <c r="E1384" s="180">
        <v>10830</v>
      </c>
      <c r="F1384" s="192">
        <v>0</v>
      </c>
    </row>
    <row r="1385" spans="1:6" ht="12">
      <c r="A1385" s="190">
        <v>240314</v>
      </c>
      <c r="B1385" s="171" t="s">
        <v>991</v>
      </c>
      <c r="C1385" s="200">
        <v>213073030</v>
      </c>
      <c r="D1385" s="178" t="s">
        <v>2467</v>
      </c>
      <c r="E1385" s="180">
        <v>10254</v>
      </c>
      <c r="F1385" s="192">
        <v>0</v>
      </c>
    </row>
    <row r="1386" spans="1:6" ht="12">
      <c r="A1386" s="190">
        <v>240314</v>
      </c>
      <c r="B1386" s="171" t="s">
        <v>991</v>
      </c>
      <c r="C1386" s="200">
        <v>214373043</v>
      </c>
      <c r="D1386" s="178" t="s">
        <v>2468</v>
      </c>
      <c r="E1386" s="180">
        <v>12545</v>
      </c>
      <c r="F1386" s="192">
        <v>0</v>
      </c>
    </row>
    <row r="1387" spans="1:6" ht="12">
      <c r="A1387" s="190">
        <v>240314</v>
      </c>
      <c r="B1387" s="171" t="s">
        <v>991</v>
      </c>
      <c r="C1387" s="200">
        <v>215573055</v>
      </c>
      <c r="D1387" s="178" t="s">
        <v>2469</v>
      </c>
      <c r="E1387" s="180">
        <v>17535</v>
      </c>
      <c r="F1387" s="192">
        <v>0</v>
      </c>
    </row>
    <row r="1388" spans="1:6" ht="12">
      <c r="A1388" s="190">
        <v>240314</v>
      </c>
      <c r="B1388" s="171" t="s">
        <v>991</v>
      </c>
      <c r="C1388" s="200">
        <v>216773067</v>
      </c>
      <c r="D1388" s="178" t="s">
        <v>2470</v>
      </c>
      <c r="E1388" s="180">
        <v>32161</v>
      </c>
      <c r="F1388" s="192">
        <v>0</v>
      </c>
    </row>
    <row r="1389" spans="1:6" ht="12">
      <c r="A1389" s="190">
        <v>240314</v>
      </c>
      <c r="B1389" s="171" t="s">
        <v>991</v>
      </c>
      <c r="C1389" s="200">
        <v>212473124</v>
      </c>
      <c r="D1389" s="178" t="s">
        <v>2471</v>
      </c>
      <c r="E1389" s="180">
        <v>22062</v>
      </c>
      <c r="F1389" s="192">
        <v>0</v>
      </c>
    </row>
    <row r="1390" spans="1:6" ht="12">
      <c r="A1390" s="190">
        <v>240314</v>
      </c>
      <c r="B1390" s="171" t="s">
        <v>991</v>
      </c>
      <c r="C1390" s="200">
        <v>214873148</v>
      </c>
      <c r="D1390" s="178" t="s">
        <v>2472</v>
      </c>
      <c r="E1390" s="180">
        <v>9376</v>
      </c>
      <c r="F1390" s="192">
        <v>0</v>
      </c>
    </row>
    <row r="1391" spans="1:6" ht="12">
      <c r="A1391" s="190">
        <v>240314</v>
      </c>
      <c r="B1391" s="171" t="s">
        <v>991</v>
      </c>
      <c r="C1391" s="200">
        <v>215273152</v>
      </c>
      <c r="D1391" s="178" t="s">
        <v>2473</v>
      </c>
      <c r="E1391" s="180">
        <v>8049</v>
      </c>
      <c r="F1391" s="192">
        <v>0</v>
      </c>
    </row>
    <row r="1392" spans="1:6" ht="12">
      <c r="A1392" s="190">
        <v>240314</v>
      </c>
      <c r="B1392" s="171" t="s">
        <v>991</v>
      </c>
      <c r="C1392" s="200">
        <v>216873168</v>
      </c>
      <c r="D1392" s="178" t="s">
        <v>2474</v>
      </c>
      <c r="E1392" s="180">
        <v>68209</v>
      </c>
      <c r="F1392" s="192">
        <v>0</v>
      </c>
    </row>
    <row r="1393" spans="1:6" ht="12">
      <c r="A1393" s="190">
        <v>240314</v>
      </c>
      <c r="B1393" s="171" t="s">
        <v>991</v>
      </c>
      <c r="C1393" s="200">
        <v>210073200</v>
      </c>
      <c r="D1393" s="178" t="s">
        <v>2475</v>
      </c>
      <c r="E1393" s="180">
        <v>11445</v>
      </c>
      <c r="F1393" s="192">
        <v>0</v>
      </c>
    </row>
    <row r="1394" spans="1:6" ht="12">
      <c r="A1394" s="190">
        <v>240314</v>
      </c>
      <c r="B1394" s="171" t="s">
        <v>991</v>
      </c>
      <c r="C1394" s="200">
        <v>211773217</v>
      </c>
      <c r="D1394" s="178" t="s">
        <v>2476</v>
      </c>
      <c r="E1394" s="180">
        <v>55243</v>
      </c>
      <c r="F1394" s="192">
        <v>0</v>
      </c>
    </row>
    <row r="1395" spans="1:6" ht="12">
      <c r="A1395" s="190">
        <v>240314</v>
      </c>
      <c r="B1395" s="171" t="s">
        <v>991</v>
      </c>
      <c r="C1395" s="200">
        <v>212673226</v>
      </c>
      <c r="D1395" s="178" t="s">
        <v>2477</v>
      </c>
      <c r="E1395" s="180">
        <v>12853</v>
      </c>
      <c r="F1395" s="192">
        <v>0</v>
      </c>
    </row>
    <row r="1396" spans="1:6" ht="12">
      <c r="A1396" s="190">
        <v>240314</v>
      </c>
      <c r="B1396" s="171" t="s">
        <v>991</v>
      </c>
      <c r="C1396" s="200">
        <v>213673236</v>
      </c>
      <c r="D1396" s="178" t="s">
        <v>2478</v>
      </c>
      <c r="E1396" s="180">
        <v>10935</v>
      </c>
      <c r="F1396" s="192">
        <v>0</v>
      </c>
    </row>
    <row r="1397" spans="1:6" ht="12">
      <c r="A1397" s="190">
        <v>240314</v>
      </c>
      <c r="B1397" s="171" t="s">
        <v>991</v>
      </c>
      <c r="C1397" s="200">
        <v>216873268</v>
      </c>
      <c r="D1397" s="178" t="s">
        <v>2479</v>
      </c>
      <c r="E1397" s="180">
        <v>75382</v>
      </c>
      <c r="F1397" s="192">
        <v>0</v>
      </c>
    </row>
    <row r="1398" spans="1:6" ht="12">
      <c r="A1398" s="190">
        <v>240314</v>
      </c>
      <c r="B1398" s="171" t="s">
        <v>991</v>
      </c>
      <c r="C1398" s="200">
        <v>217073270</v>
      </c>
      <c r="D1398" s="178" t="s">
        <v>2480</v>
      </c>
      <c r="E1398" s="180">
        <v>10789</v>
      </c>
      <c r="F1398" s="192">
        <v>0</v>
      </c>
    </row>
    <row r="1399" spans="1:6" ht="12">
      <c r="A1399" s="190">
        <v>240314</v>
      </c>
      <c r="B1399" s="171" t="s">
        <v>991</v>
      </c>
      <c r="C1399" s="200">
        <v>217573275</v>
      </c>
      <c r="D1399" s="178" t="s">
        <v>2481</v>
      </c>
      <c r="E1399" s="180">
        <v>28333</v>
      </c>
      <c r="F1399" s="192">
        <v>0</v>
      </c>
    </row>
    <row r="1400" spans="1:6" ht="12">
      <c r="A1400" s="190">
        <v>240314</v>
      </c>
      <c r="B1400" s="171" t="s">
        <v>991</v>
      </c>
      <c r="C1400" s="200">
        <v>218373283</v>
      </c>
      <c r="D1400" s="178" t="s">
        <v>2482</v>
      </c>
      <c r="E1400" s="180">
        <v>37125</v>
      </c>
      <c r="F1400" s="192">
        <v>0</v>
      </c>
    </row>
    <row r="1401" spans="1:6" ht="12">
      <c r="A1401" s="190">
        <v>240314</v>
      </c>
      <c r="B1401" s="171" t="s">
        <v>991</v>
      </c>
      <c r="C1401" s="200">
        <v>211973319</v>
      </c>
      <c r="D1401" s="178" t="s">
        <v>2483</v>
      </c>
      <c r="E1401" s="180">
        <v>41596</v>
      </c>
      <c r="F1401" s="192">
        <v>0</v>
      </c>
    </row>
    <row r="1402" spans="1:6" ht="12">
      <c r="A1402" s="190">
        <v>240314</v>
      </c>
      <c r="B1402" s="171" t="s">
        <v>991</v>
      </c>
      <c r="C1402" s="200">
        <v>214773347</v>
      </c>
      <c r="D1402" s="178" t="s">
        <v>2484</v>
      </c>
      <c r="E1402" s="180">
        <v>9552</v>
      </c>
      <c r="F1402" s="192">
        <v>0</v>
      </c>
    </row>
    <row r="1403" spans="1:6" ht="12">
      <c r="A1403" s="190">
        <v>240314</v>
      </c>
      <c r="B1403" s="171" t="s">
        <v>991</v>
      </c>
      <c r="C1403" s="200">
        <v>214973349</v>
      </c>
      <c r="D1403" s="178" t="s">
        <v>2485</v>
      </c>
      <c r="E1403" s="180">
        <v>31329</v>
      </c>
      <c r="F1403" s="192">
        <v>0</v>
      </c>
    </row>
    <row r="1404" spans="1:6" ht="12">
      <c r="A1404" s="190">
        <v>240314</v>
      </c>
      <c r="B1404" s="171" t="s">
        <v>991</v>
      </c>
      <c r="C1404" s="200">
        <v>215273352</v>
      </c>
      <c r="D1404" s="178" t="s">
        <v>2486</v>
      </c>
      <c r="E1404" s="180">
        <v>16501</v>
      </c>
      <c r="F1404" s="192">
        <v>0</v>
      </c>
    </row>
    <row r="1405" spans="1:6" ht="12">
      <c r="A1405" s="190">
        <v>240314</v>
      </c>
      <c r="B1405" s="171" t="s">
        <v>991</v>
      </c>
      <c r="C1405" s="200">
        <v>210873408</v>
      </c>
      <c r="D1405" s="178" t="s">
        <v>2487</v>
      </c>
      <c r="E1405" s="180">
        <v>22192</v>
      </c>
      <c r="F1405" s="192">
        <v>0</v>
      </c>
    </row>
    <row r="1406" spans="1:6" ht="12">
      <c r="A1406" s="190">
        <v>240314</v>
      </c>
      <c r="B1406" s="171" t="s">
        <v>991</v>
      </c>
      <c r="C1406" s="200">
        <v>211173411</v>
      </c>
      <c r="D1406" s="178" t="s">
        <v>2488</v>
      </c>
      <c r="E1406" s="180">
        <v>50192</v>
      </c>
      <c r="F1406" s="192">
        <v>0</v>
      </c>
    </row>
    <row r="1407" spans="1:6" ht="12">
      <c r="A1407" s="190">
        <v>240314</v>
      </c>
      <c r="B1407" s="171" t="s">
        <v>991</v>
      </c>
      <c r="C1407" s="200">
        <v>214373443</v>
      </c>
      <c r="D1407" s="178" t="s">
        <v>2489</v>
      </c>
      <c r="E1407" s="180">
        <v>39056</v>
      </c>
      <c r="F1407" s="192">
        <v>0</v>
      </c>
    </row>
    <row r="1408" spans="1:6" ht="12">
      <c r="A1408" s="190">
        <v>240314</v>
      </c>
      <c r="B1408" s="171" t="s">
        <v>991</v>
      </c>
      <c r="C1408" s="200">
        <v>214973449</v>
      </c>
      <c r="D1408" s="178" t="s">
        <v>2490</v>
      </c>
      <c r="E1408" s="180">
        <v>41075</v>
      </c>
      <c r="F1408" s="192">
        <v>0</v>
      </c>
    </row>
    <row r="1409" spans="1:6" ht="12">
      <c r="A1409" s="190">
        <v>240314</v>
      </c>
      <c r="B1409" s="171" t="s">
        <v>991</v>
      </c>
      <c r="C1409" s="200">
        <v>216173461</v>
      </c>
      <c r="D1409" s="178" t="s">
        <v>2491</v>
      </c>
      <c r="E1409" s="180">
        <v>6348</v>
      </c>
      <c r="F1409" s="192">
        <v>0</v>
      </c>
    </row>
    <row r="1410" spans="1:6" ht="12">
      <c r="A1410" s="190">
        <v>240314</v>
      </c>
      <c r="B1410" s="171" t="s">
        <v>991</v>
      </c>
      <c r="C1410" s="200">
        <v>218373483</v>
      </c>
      <c r="D1410" s="178" t="s">
        <v>2492</v>
      </c>
      <c r="E1410" s="180">
        <v>24685</v>
      </c>
      <c r="F1410" s="192">
        <v>0</v>
      </c>
    </row>
    <row r="1411" spans="1:6" ht="12">
      <c r="A1411" s="190">
        <v>240314</v>
      </c>
      <c r="B1411" s="171" t="s">
        <v>991</v>
      </c>
      <c r="C1411" s="200">
        <v>210473504</v>
      </c>
      <c r="D1411" s="178" t="s">
        <v>2493</v>
      </c>
      <c r="E1411" s="180">
        <v>56240</v>
      </c>
      <c r="F1411" s="192">
        <v>0</v>
      </c>
    </row>
    <row r="1412" spans="1:6" ht="12">
      <c r="A1412" s="190">
        <v>240314</v>
      </c>
      <c r="B1412" s="171" t="s">
        <v>991</v>
      </c>
      <c r="C1412" s="200">
        <v>212073520</v>
      </c>
      <c r="D1412" s="178" t="s">
        <v>2494</v>
      </c>
      <c r="E1412" s="180">
        <v>11036</v>
      </c>
      <c r="F1412" s="192">
        <v>0</v>
      </c>
    </row>
    <row r="1413" spans="1:6" ht="12">
      <c r="A1413" s="190">
        <v>240314</v>
      </c>
      <c r="B1413" s="171" t="s">
        <v>991</v>
      </c>
      <c r="C1413" s="200">
        <v>214773547</v>
      </c>
      <c r="D1413" s="178" t="s">
        <v>2495</v>
      </c>
      <c r="E1413" s="180">
        <v>6323</v>
      </c>
      <c r="F1413" s="192">
        <v>0</v>
      </c>
    </row>
    <row r="1414" spans="1:6" ht="12">
      <c r="A1414" s="190">
        <v>240314</v>
      </c>
      <c r="B1414" s="171" t="s">
        <v>991</v>
      </c>
      <c r="C1414" s="200">
        <v>215573555</v>
      </c>
      <c r="D1414" s="178" t="s">
        <v>2496</v>
      </c>
      <c r="E1414" s="180">
        <v>45780</v>
      </c>
      <c r="F1414" s="192">
        <v>0</v>
      </c>
    </row>
    <row r="1415" spans="1:6" ht="12">
      <c r="A1415" s="190">
        <v>240314</v>
      </c>
      <c r="B1415" s="171" t="s">
        <v>991</v>
      </c>
      <c r="C1415" s="200">
        <v>216373563</v>
      </c>
      <c r="D1415" s="178" t="s">
        <v>2497</v>
      </c>
      <c r="E1415" s="180">
        <v>12020</v>
      </c>
      <c r="F1415" s="192">
        <v>0</v>
      </c>
    </row>
    <row r="1416" spans="1:6" ht="12">
      <c r="A1416" s="190">
        <v>240314</v>
      </c>
      <c r="B1416" s="171" t="s">
        <v>991</v>
      </c>
      <c r="C1416" s="200">
        <v>218573585</v>
      </c>
      <c r="D1416" s="178" t="s">
        <v>2498</v>
      </c>
      <c r="E1416" s="180">
        <v>28314</v>
      </c>
      <c r="F1416" s="192">
        <v>0</v>
      </c>
    </row>
    <row r="1417" spans="1:6" ht="12">
      <c r="A1417" s="190">
        <v>240314</v>
      </c>
      <c r="B1417" s="171" t="s">
        <v>991</v>
      </c>
      <c r="C1417" s="200">
        <v>211673616</v>
      </c>
      <c r="D1417" s="178" t="s">
        <v>2499</v>
      </c>
      <c r="E1417" s="180">
        <v>39619</v>
      </c>
      <c r="F1417" s="192">
        <v>0</v>
      </c>
    </row>
    <row r="1418" spans="1:6" ht="12">
      <c r="A1418" s="190">
        <v>240314</v>
      </c>
      <c r="B1418" s="171" t="s">
        <v>991</v>
      </c>
      <c r="C1418" s="200">
        <v>212273622</v>
      </c>
      <c r="D1418" s="178" t="s">
        <v>2500</v>
      </c>
      <c r="E1418" s="180">
        <v>7776</v>
      </c>
      <c r="F1418" s="192">
        <v>0</v>
      </c>
    </row>
    <row r="1419" spans="1:6" ht="12">
      <c r="A1419" s="190">
        <v>240314</v>
      </c>
      <c r="B1419" s="171" t="s">
        <v>991</v>
      </c>
      <c r="C1419" s="200">
        <v>212473624</v>
      </c>
      <c r="D1419" s="178" t="s">
        <v>2501</v>
      </c>
      <c r="E1419" s="180">
        <v>31680</v>
      </c>
      <c r="F1419" s="192">
        <v>0</v>
      </c>
    </row>
    <row r="1420" spans="1:6" ht="12">
      <c r="A1420" s="190">
        <v>240314</v>
      </c>
      <c r="B1420" s="171" t="s">
        <v>991</v>
      </c>
      <c r="C1420" s="200">
        <v>217173671</v>
      </c>
      <c r="D1420" s="178" t="s">
        <v>2502</v>
      </c>
      <c r="E1420" s="180">
        <v>18914</v>
      </c>
      <c r="F1420" s="192">
        <v>0</v>
      </c>
    </row>
    <row r="1421" spans="1:6" ht="12">
      <c r="A1421" s="190">
        <v>240314</v>
      </c>
      <c r="B1421" s="171" t="s">
        <v>991</v>
      </c>
      <c r="C1421" s="200">
        <v>217573675</v>
      </c>
      <c r="D1421" s="178" t="s">
        <v>2503</v>
      </c>
      <c r="E1421" s="180">
        <v>18523</v>
      </c>
      <c r="F1421" s="192">
        <v>0</v>
      </c>
    </row>
    <row r="1422" spans="1:6" ht="12">
      <c r="A1422" s="190">
        <v>240314</v>
      </c>
      <c r="B1422" s="171" t="s">
        <v>991</v>
      </c>
      <c r="C1422" s="200">
        <v>217873678</v>
      </c>
      <c r="D1422" s="178" t="s">
        <v>1257</v>
      </c>
      <c r="E1422" s="180">
        <v>17940</v>
      </c>
      <c r="F1422" s="192">
        <v>0</v>
      </c>
    </row>
    <row r="1423" spans="1:6" ht="12">
      <c r="A1423" s="190">
        <v>240314</v>
      </c>
      <c r="B1423" s="171" t="s">
        <v>991</v>
      </c>
      <c r="C1423" s="200">
        <v>218673686</v>
      </c>
      <c r="D1423" s="178" t="s">
        <v>2504</v>
      </c>
      <c r="E1423" s="180">
        <v>9507</v>
      </c>
      <c r="F1423" s="192">
        <v>0</v>
      </c>
    </row>
    <row r="1424" spans="1:6" ht="12">
      <c r="A1424" s="190">
        <v>240314</v>
      </c>
      <c r="B1424" s="171" t="s">
        <v>991</v>
      </c>
      <c r="C1424" s="200">
        <v>217073770</v>
      </c>
      <c r="D1424" s="178" t="s">
        <v>1700</v>
      </c>
      <c r="E1424" s="180">
        <v>6016</v>
      </c>
      <c r="F1424" s="192">
        <v>0</v>
      </c>
    </row>
    <row r="1425" spans="1:6" ht="12">
      <c r="A1425" s="190">
        <v>240314</v>
      </c>
      <c r="B1425" s="171" t="s">
        <v>991</v>
      </c>
      <c r="C1425" s="200">
        <v>215473854</v>
      </c>
      <c r="D1425" s="178" t="s">
        <v>2505</v>
      </c>
      <c r="E1425" s="180">
        <v>7292</v>
      </c>
      <c r="F1425" s="192">
        <v>0</v>
      </c>
    </row>
    <row r="1426" spans="1:6" ht="12">
      <c r="A1426" s="190">
        <v>240314</v>
      </c>
      <c r="B1426" s="171" t="s">
        <v>991</v>
      </c>
      <c r="C1426" s="200">
        <v>216173861</v>
      </c>
      <c r="D1426" s="178" t="s">
        <v>2506</v>
      </c>
      <c r="E1426" s="180">
        <v>17162</v>
      </c>
      <c r="F1426" s="192">
        <v>0</v>
      </c>
    </row>
    <row r="1427" spans="1:6" ht="12">
      <c r="A1427" s="190">
        <v>240314</v>
      </c>
      <c r="B1427" s="171" t="s">
        <v>991</v>
      </c>
      <c r="C1427" s="200">
        <v>217073870</v>
      </c>
      <c r="D1427" s="178" t="s">
        <v>2507</v>
      </c>
      <c r="E1427" s="180">
        <v>13554</v>
      </c>
      <c r="F1427" s="192">
        <v>0</v>
      </c>
    </row>
    <row r="1428" spans="1:6" ht="12">
      <c r="A1428" s="190">
        <v>240314</v>
      </c>
      <c r="B1428" s="171" t="s">
        <v>991</v>
      </c>
      <c r="C1428" s="200">
        <v>217373873</v>
      </c>
      <c r="D1428" s="178" t="s">
        <v>2508</v>
      </c>
      <c r="E1428" s="180">
        <v>7413</v>
      </c>
      <c r="F1428" s="192">
        <v>0</v>
      </c>
    </row>
    <row r="1429" spans="1:6" ht="12">
      <c r="A1429" s="190">
        <v>240314</v>
      </c>
      <c r="B1429" s="171" t="s">
        <v>991</v>
      </c>
      <c r="C1429" s="200">
        <v>212076020</v>
      </c>
      <c r="D1429" s="178" t="s">
        <v>2509</v>
      </c>
      <c r="E1429" s="180">
        <v>18332</v>
      </c>
      <c r="F1429" s="192">
        <v>0</v>
      </c>
    </row>
    <row r="1430" spans="1:6" ht="12">
      <c r="A1430" s="190">
        <v>240314</v>
      </c>
      <c r="B1430" s="171" t="s">
        <v>991</v>
      </c>
      <c r="C1430" s="200">
        <v>213676036</v>
      </c>
      <c r="D1430" s="178" t="s">
        <v>2510</v>
      </c>
      <c r="E1430" s="180">
        <v>22989</v>
      </c>
      <c r="F1430" s="192">
        <v>0</v>
      </c>
    </row>
    <row r="1431" spans="1:6" ht="12">
      <c r="A1431" s="190">
        <v>240314</v>
      </c>
      <c r="B1431" s="171" t="s">
        <v>991</v>
      </c>
      <c r="C1431" s="200">
        <v>214176041</v>
      </c>
      <c r="D1431" s="178" t="s">
        <v>2511</v>
      </c>
      <c r="E1431" s="180">
        <v>20851</v>
      </c>
      <c r="F1431" s="192">
        <v>0</v>
      </c>
    </row>
    <row r="1432" spans="1:6" ht="12">
      <c r="A1432" s="190">
        <v>240314</v>
      </c>
      <c r="B1432" s="171" t="s">
        <v>991</v>
      </c>
      <c r="C1432" s="200">
        <v>215476054</v>
      </c>
      <c r="D1432" s="178" t="s">
        <v>1114</v>
      </c>
      <c r="E1432" s="180">
        <v>7483</v>
      </c>
      <c r="F1432" s="192">
        <v>0</v>
      </c>
    </row>
    <row r="1433" spans="1:6" ht="12">
      <c r="A1433" s="190">
        <v>240314</v>
      </c>
      <c r="B1433" s="171" t="s">
        <v>991</v>
      </c>
      <c r="C1433" s="200">
        <v>210076100</v>
      </c>
      <c r="D1433" s="178" t="s">
        <v>994</v>
      </c>
      <c r="E1433" s="180">
        <v>19619</v>
      </c>
      <c r="F1433" s="192">
        <v>0</v>
      </c>
    </row>
    <row r="1434" spans="1:6" ht="12">
      <c r="A1434" s="190">
        <v>240314</v>
      </c>
      <c r="B1434" s="171" t="s">
        <v>991</v>
      </c>
      <c r="C1434" s="200">
        <v>211376113</v>
      </c>
      <c r="D1434" s="178" t="s">
        <v>2512</v>
      </c>
      <c r="E1434" s="180">
        <v>15287</v>
      </c>
      <c r="F1434" s="192">
        <v>0</v>
      </c>
    </row>
    <row r="1435" spans="1:6" ht="12">
      <c r="A1435" s="190">
        <v>240314</v>
      </c>
      <c r="B1435" s="171" t="s">
        <v>991</v>
      </c>
      <c r="C1435" s="200">
        <v>212276122</v>
      </c>
      <c r="D1435" s="178" t="s">
        <v>2513</v>
      </c>
      <c r="E1435" s="180">
        <v>35140</v>
      </c>
      <c r="F1435" s="192">
        <v>0</v>
      </c>
    </row>
    <row r="1436" spans="1:6" ht="12">
      <c r="A1436" s="190">
        <v>240314</v>
      </c>
      <c r="B1436" s="171" t="s">
        <v>991</v>
      </c>
      <c r="C1436" s="200">
        <v>212676126</v>
      </c>
      <c r="D1436" s="178" t="s">
        <v>2514</v>
      </c>
      <c r="E1436" s="180">
        <v>19775</v>
      </c>
      <c r="F1436" s="192">
        <v>0</v>
      </c>
    </row>
    <row r="1437" spans="1:6" ht="12">
      <c r="A1437" s="190">
        <v>240314</v>
      </c>
      <c r="B1437" s="171" t="s">
        <v>991</v>
      </c>
      <c r="C1437" s="200">
        <v>213076130</v>
      </c>
      <c r="D1437" s="178" t="s">
        <v>1320</v>
      </c>
      <c r="E1437" s="180">
        <v>68871</v>
      </c>
      <c r="F1437" s="192">
        <v>0</v>
      </c>
    </row>
    <row r="1438" spans="1:6" ht="12">
      <c r="A1438" s="190">
        <v>240314</v>
      </c>
      <c r="B1438" s="171" t="s">
        <v>991</v>
      </c>
      <c r="C1438" s="200">
        <v>213376233</v>
      </c>
      <c r="D1438" s="178" t="s">
        <v>2515</v>
      </c>
      <c r="E1438" s="180">
        <v>38754</v>
      </c>
      <c r="F1438" s="192">
        <v>0</v>
      </c>
    </row>
    <row r="1439" spans="1:6" ht="12">
      <c r="A1439" s="190">
        <v>240314</v>
      </c>
      <c r="B1439" s="171" t="s">
        <v>991</v>
      </c>
      <c r="C1439" s="200">
        <v>214376243</v>
      </c>
      <c r="D1439" s="178" t="s">
        <v>2516</v>
      </c>
      <c r="E1439" s="180">
        <v>11677</v>
      </c>
      <c r="F1439" s="192">
        <v>0</v>
      </c>
    </row>
    <row r="1440" spans="1:6" ht="12">
      <c r="A1440" s="190">
        <v>240314</v>
      </c>
      <c r="B1440" s="171" t="s">
        <v>991</v>
      </c>
      <c r="C1440" s="200">
        <v>214676246</v>
      </c>
      <c r="D1440" s="178" t="s">
        <v>2517</v>
      </c>
      <c r="E1440" s="180">
        <v>9689</v>
      </c>
      <c r="F1440" s="192">
        <v>0</v>
      </c>
    </row>
    <row r="1441" spans="1:6" ht="12">
      <c r="A1441" s="190">
        <v>240314</v>
      </c>
      <c r="B1441" s="171" t="s">
        <v>991</v>
      </c>
      <c r="C1441" s="200">
        <v>214876248</v>
      </c>
      <c r="D1441" s="178" t="s">
        <v>2518</v>
      </c>
      <c r="E1441" s="180">
        <v>50666</v>
      </c>
      <c r="F1441" s="192">
        <v>0</v>
      </c>
    </row>
    <row r="1442" spans="1:6" ht="12">
      <c r="A1442" s="190">
        <v>240314</v>
      </c>
      <c r="B1442" s="171" t="s">
        <v>991</v>
      </c>
      <c r="C1442" s="200">
        <v>215076250</v>
      </c>
      <c r="D1442" s="178" t="s">
        <v>2519</v>
      </c>
      <c r="E1442" s="180">
        <v>18398</v>
      </c>
      <c r="F1442" s="192">
        <v>0</v>
      </c>
    </row>
    <row r="1443" spans="1:6" ht="12">
      <c r="A1443" s="190">
        <v>240314</v>
      </c>
      <c r="B1443" s="171" t="s">
        <v>991</v>
      </c>
      <c r="C1443" s="200">
        <v>217576275</v>
      </c>
      <c r="D1443" s="178" t="s">
        <v>2520</v>
      </c>
      <c r="E1443" s="180">
        <v>61924</v>
      </c>
      <c r="F1443" s="192">
        <v>0</v>
      </c>
    </row>
    <row r="1444" spans="1:6" ht="12">
      <c r="A1444" s="190">
        <v>240314</v>
      </c>
      <c r="B1444" s="171" t="s">
        <v>991</v>
      </c>
      <c r="C1444" s="200">
        <v>210676306</v>
      </c>
      <c r="D1444" s="178" t="s">
        <v>2521</v>
      </c>
      <c r="E1444" s="180">
        <v>19907</v>
      </c>
      <c r="F1444" s="192">
        <v>0</v>
      </c>
    </row>
    <row r="1445" spans="1:6" ht="12">
      <c r="A1445" s="190">
        <v>240314</v>
      </c>
      <c r="B1445" s="171" t="s">
        <v>991</v>
      </c>
      <c r="C1445" s="200">
        <v>211876318</v>
      </c>
      <c r="D1445" s="178" t="s">
        <v>2522</v>
      </c>
      <c r="E1445" s="180">
        <v>34362</v>
      </c>
      <c r="F1445" s="192">
        <v>0</v>
      </c>
    </row>
    <row r="1446" spans="1:6" ht="12">
      <c r="A1446" s="190">
        <v>240314</v>
      </c>
      <c r="B1446" s="171" t="s">
        <v>991</v>
      </c>
      <c r="C1446" s="200">
        <v>216476364</v>
      </c>
      <c r="D1446" s="178" t="s">
        <v>2523</v>
      </c>
      <c r="E1446" s="180">
        <v>77474</v>
      </c>
      <c r="F1446" s="192">
        <v>0</v>
      </c>
    </row>
    <row r="1447" spans="1:6" ht="12">
      <c r="A1447" s="190">
        <v>240314</v>
      </c>
      <c r="B1447" s="171" t="s">
        <v>991</v>
      </c>
      <c r="C1447" s="200">
        <v>217776377</v>
      </c>
      <c r="D1447" s="178" t="s">
        <v>2524</v>
      </c>
      <c r="E1447" s="180">
        <v>13644</v>
      </c>
      <c r="F1447" s="192">
        <v>0</v>
      </c>
    </row>
    <row r="1448" spans="1:6" ht="12">
      <c r="A1448" s="190">
        <v>240314</v>
      </c>
      <c r="B1448" s="171" t="s">
        <v>991</v>
      </c>
      <c r="C1448" s="200">
        <v>210076400</v>
      </c>
      <c r="D1448" s="178" t="s">
        <v>1202</v>
      </c>
      <c r="E1448" s="180">
        <v>36482</v>
      </c>
      <c r="F1448" s="192">
        <v>0</v>
      </c>
    </row>
    <row r="1449" spans="1:6" ht="12">
      <c r="A1449" s="190">
        <v>240314</v>
      </c>
      <c r="B1449" s="171" t="s">
        <v>991</v>
      </c>
      <c r="C1449" s="200">
        <v>210376403</v>
      </c>
      <c r="D1449" s="178" t="s">
        <v>1515</v>
      </c>
      <c r="E1449" s="180">
        <v>17833</v>
      </c>
      <c r="F1449" s="192">
        <v>0</v>
      </c>
    </row>
    <row r="1450" spans="1:6" ht="12">
      <c r="A1450" s="190">
        <v>240314</v>
      </c>
      <c r="B1450" s="171" t="s">
        <v>991</v>
      </c>
      <c r="C1450" s="200">
        <v>219776497</v>
      </c>
      <c r="D1450" s="178" t="s">
        <v>2525</v>
      </c>
      <c r="E1450" s="180">
        <v>16819</v>
      </c>
      <c r="F1450" s="192">
        <v>0</v>
      </c>
    </row>
    <row r="1451" spans="1:6" ht="12">
      <c r="A1451" s="190">
        <v>240314</v>
      </c>
      <c r="B1451" s="171" t="s">
        <v>991</v>
      </c>
      <c r="C1451" s="200">
        <v>216376563</v>
      </c>
      <c r="D1451" s="178" t="s">
        <v>2526</v>
      </c>
      <c r="E1451" s="180">
        <v>59584</v>
      </c>
      <c r="F1451" s="192">
        <v>0</v>
      </c>
    </row>
    <row r="1452" spans="1:6" ht="12">
      <c r="A1452" s="190">
        <v>240314</v>
      </c>
      <c r="B1452" s="171" t="s">
        <v>991</v>
      </c>
      <c r="C1452" s="200">
        <v>210676606</v>
      </c>
      <c r="D1452" s="178" t="s">
        <v>2191</v>
      </c>
      <c r="E1452" s="180">
        <v>20391</v>
      </c>
      <c r="F1452" s="192">
        <v>0</v>
      </c>
    </row>
    <row r="1453" spans="1:6" ht="12">
      <c r="A1453" s="190">
        <v>240314</v>
      </c>
      <c r="B1453" s="171" t="s">
        <v>991</v>
      </c>
      <c r="C1453" s="200">
        <v>211676616</v>
      </c>
      <c r="D1453" s="178" t="s">
        <v>2527</v>
      </c>
      <c r="E1453" s="180">
        <v>21951</v>
      </c>
      <c r="F1453" s="192">
        <v>0</v>
      </c>
    </row>
    <row r="1454" spans="1:6" ht="12">
      <c r="A1454" s="190">
        <v>240314</v>
      </c>
      <c r="B1454" s="171" t="s">
        <v>991</v>
      </c>
      <c r="C1454" s="200">
        <v>212276622</v>
      </c>
      <c r="D1454" s="178" t="s">
        <v>2528</v>
      </c>
      <c r="E1454" s="180">
        <v>42728</v>
      </c>
      <c r="F1454" s="192">
        <v>0</v>
      </c>
    </row>
    <row r="1455" spans="1:6" ht="12">
      <c r="A1455" s="190">
        <v>240314</v>
      </c>
      <c r="B1455" s="171" t="s">
        <v>991</v>
      </c>
      <c r="C1455" s="200">
        <v>217076670</v>
      </c>
      <c r="D1455" s="178" t="s">
        <v>1259</v>
      </c>
      <c r="E1455" s="180">
        <v>19381</v>
      </c>
      <c r="F1455" s="192">
        <v>0</v>
      </c>
    </row>
    <row r="1456" spans="1:6" ht="12">
      <c r="A1456" s="190">
        <v>240314</v>
      </c>
      <c r="B1456" s="171" t="s">
        <v>991</v>
      </c>
      <c r="C1456" s="200">
        <v>213676736</v>
      </c>
      <c r="D1456" s="178" t="s">
        <v>2529</v>
      </c>
      <c r="E1456" s="180">
        <v>54132</v>
      </c>
      <c r="F1456" s="192">
        <v>0</v>
      </c>
    </row>
    <row r="1457" spans="1:6" ht="12">
      <c r="A1457" s="190">
        <v>240314</v>
      </c>
      <c r="B1457" s="171" t="s">
        <v>991</v>
      </c>
      <c r="C1457" s="200">
        <v>212376823</v>
      </c>
      <c r="D1457" s="178" t="s">
        <v>2530</v>
      </c>
      <c r="E1457" s="180">
        <v>21274</v>
      </c>
      <c r="F1457" s="192">
        <v>0</v>
      </c>
    </row>
    <row r="1458" spans="1:6" ht="12">
      <c r="A1458" s="190">
        <v>240314</v>
      </c>
      <c r="B1458" s="171" t="s">
        <v>991</v>
      </c>
      <c r="C1458" s="200">
        <v>212876828</v>
      </c>
      <c r="D1458" s="178" t="s">
        <v>2531</v>
      </c>
      <c r="E1458" s="180">
        <v>22202</v>
      </c>
      <c r="F1458" s="192">
        <v>0</v>
      </c>
    </row>
    <row r="1459" spans="1:6" ht="12">
      <c r="A1459" s="190">
        <v>240314</v>
      </c>
      <c r="B1459" s="171" t="s">
        <v>991</v>
      </c>
      <c r="C1459" s="200">
        <v>214576845</v>
      </c>
      <c r="D1459" s="178" t="s">
        <v>2532</v>
      </c>
      <c r="E1459" s="180">
        <v>6044</v>
      </c>
      <c r="F1459" s="192">
        <v>0</v>
      </c>
    </row>
    <row r="1460" spans="1:6" ht="12">
      <c r="A1460" s="190">
        <v>240314</v>
      </c>
      <c r="B1460" s="171" t="s">
        <v>991</v>
      </c>
      <c r="C1460" s="200">
        <v>216376863</v>
      </c>
      <c r="D1460" s="178" t="s">
        <v>2533</v>
      </c>
      <c r="E1460" s="180">
        <v>9527</v>
      </c>
      <c r="F1460" s="192">
        <v>0</v>
      </c>
    </row>
    <row r="1461" spans="1:6" ht="12">
      <c r="A1461" s="190">
        <v>240314</v>
      </c>
      <c r="B1461" s="171" t="s">
        <v>991</v>
      </c>
      <c r="C1461" s="200">
        <v>216976869</v>
      </c>
      <c r="D1461" s="178" t="s">
        <v>2534</v>
      </c>
      <c r="E1461" s="180">
        <v>7722</v>
      </c>
      <c r="F1461" s="192">
        <v>0</v>
      </c>
    </row>
    <row r="1462" spans="1:6" ht="12">
      <c r="A1462" s="190">
        <v>240314</v>
      </c>
      <c r="B1462" s="171" t="s">
        <v>991</v>
      </c>
      <c r="C1462" s="200">
        <v>219076890</v>
      </c>
      <c r="D1462" s="178" t="s">
        <v>2535</v>
      </c>
      <c r="E1462" s="180">
        <v>21299</v>
      </c>
      <c r="F1462" s="192">
        <v>0</v>
      </c>
    </row>
    <row r="1463" spans="1:6" ht="12">
      <c r="A1463" s="190">
        <v>240314</v>
      </c>
      <c r="B1463" s="171" t="s">
        <v>991</v>
      </c>
      <c r="C1463" s="200">
        <v>219276892</v>
      </c>
      <c r="D1463" s="178" t="s">
        <v>2536</v>
      </c>
      <c r="E1463" s="180">
        <v>110042</v>
      </c>
      <c r="F1463" s="192">
        <v>0</v>
      </c>
    </row>
    <row r="1464" spans="1:6" ht="12">
      <c r="A1464" s="190">
        <v>240314</v>
      </c>
      <c r="B1464" s="171" t="s">
        <v>991</v>
      </c>
      <c r="C1464" s="200">
        <v>219576895</v>
      </c>
      <c r="D1464" s="178" t="s">
        <v>2537</v>
      </c>
      <c r="E1464" s="180">
        <v>45902</v>
      </c>
      <c r="F1464" s="192">
        <v>0</v>
      </c>
    </row>
    <row r="1465" spans="1:6" ht="12">
      <c r="A1465" s="190">
        <v>240314</v>
      </c>
      <c r="B1465" s="171" t="s">
        <v>991</v>
      </c>
      <c r="C1465" s="200">
        <v>210181001</v>
      </c>
      <c r="D1465" s="178" t="s">
        <v>1014</v>
      </c>
      <c r="E1465" s="180">
        <v>81572</v>
      </c>
      <c r="F1465" s="192">
        <v>0</v>
      </c>
    </row>
    <row r="1466" spans="1:6" ht="12">
      <c r="A1466" s="190">
        <v>240314</v>
      </c>
      <c r="B1466" s="171" t="s">
        <v>991</v>
      </c>
      <c r="C1466" s="200">
        <v>216581065</v>
      </c>
      <c r="D1466" s="178" t="s">
        <v>2538</v>
      </c>
      <c r="E1466" s="180">
        <v>56798</v>
      </c>
      <c r="F1466" s="192">
        <v>0</v>
      </c>
    </row>
    <row r="1467" spans="1:6" ht="12">
      <c r="A1467" s="190">
        <v>240314</v>
      </c>
      <c r="B1467" s="171" t="s">
        <v>991</v>
      </c>
      <c r="C1467" s="200">
        <v>212081220</v>
      </c>
      <c r="D1467" s="178" t="s">
        <v>2539</v>
      </c>
      <c r="E1467" s="180">
        <v>4856</v>
      </c>
      <c r="F1467" s="192">
        <v>0</v>
      </c>
    </row>
    <row r="1468" spans="1:6" ht="12">
      <c r="A1468" s="190">
        <v>240314</v>
      </c>
      <c r="B1468" s="171" t="s">
        <v>991</v>
      </c>
      <c r="C1468" s="200">
        <v>210081300</v>
      </c>
      <c r="D1468" s="178" t="s">
        <v>2540</v>
      </c>
      <c r="E1468" s="180">
        <v>32427</v>
      </c>
      <c r="F1468" s="192">
        <v>0</v>
      </c>
    </row>
    <row r="1469" spans="1:6" ht="12">
      <c r="A1469" s="190">
        <v>240314</v>
      </c>
      <c r="B1469" s="171" t="s">
        <v>991</v>
      </c>
      <c r="C1469" s="200">
        <v>219181591</v>
      </c>
      <c r="D1469" s="178" t="s">
        <v>2541</v>
      </c>
      <c r="E1469" s="180">
        <v>5648</v>
      </c>
      <c r="F1469" s="192">
        <v>0</v>
      </c>
    </row>
    <row r="1470" spans="1:6" ht="12">
      <c r="A1470" s="190">
        <v>240314</v>
      </c>
      <c r="B1470" s="171" t="s">
        <v>991</v>
      </c>
      <c r="C1470" s="200">
        <v>213681736</v>
      </c>
      <c r="D1470" s="178" t="s">
        <v>2542</v>
      </c>
      <c r="E1470" s="180">
        <v>65854</v>
      </c>
      <c r="F1470" s="192">
        <v>0</v>
      </c>
    </row>
    <row r="1471" spans="1:6" ht="12">
      <c r="A1471" s="190">
        <v>240314</v>
      </c>
      <c r="B1471" s="171" t="s">
        <v>991</v>
      </c>
      <c r="C1471" s="200">
        <v>219481794</v>
      </c>
      <c r="D1471" s="178" t="s">
        <v>2543</v>
      </c>
      <c r="E1471" s="180">
        <v>70295</v>
      </c>
      <c r="F1471" s="192">
        <v>0</v>
      </c>
    </row>
    <row r="1472" spans="1:6" ht="12">
      <c r="A1472" s="190">
        <v>240314</v>
      </c>
      <c r="B1472" s="171" t="s">
        <v>991</v>
      </c>
      <c r="C1472" s="200">
        <v>210185001</v>
      </c>
      <c r="D1472" s="178" t="s">
        <v>2544</v>
      </c>
      <c r="E1472" s="180">
        <v>136387</v>
      </c>
      <c r="F1472" s="192">
        <v>0</v>
      </c>
    </row>
    <row r="1473" spans="1:6" ht="12">
      <c r="A1473" s="190">
        <v>240314</v>
      </c>
      <c r="B1473" s="171" t="s">
        <v>991</v>
      </c>
      <c r="C1473" s="200">
        <v>211085010</v>
      </c>
      <c r="D1473" s="178" t="s">
        <v>2545</v>
      </c>
      <c r="E1473" s="180">
        <v>42933</v>
      </c>
      <c r="F1473" s="192">
        <v>0</v>
      </c>
    </row>
    <row r="1474" spans="1:6" ht="12">
      <c r="A1474" s="190">
        <v>240314</v>
      </c>
      <c r="B1474" s="171" t="s">
        <v>991</v>
      </c>
      <c r="C1474" s="200">
        <v>211585015</v>
      </c>
      <c r="D1474" s="178" t="s">
        <v>2546</v>
      </c>
      <c r="E1474" s="180">
        <v>2357</v>
      </c>
      <c r="F1474" s="192">
        <v>0</v>
      </c>
    </row>
    <row r="1475" spans="1:6" ht="12">
      <c r="A1475" s="190">
        <v>240314</v>
      </c>
      <c r="B1475" s="171" t="s">
        <v>991</v>
      </c>
      <c r="C1475" s="200">
        <v>212585125</v>
      </c>
      <c r="D1475" s="178" t="s">
        <v>2547</v>
      </c>
      <c r="E1475" s="180">
        <v>17715</v>
      </c>
      <c r="F1475" s="192">
        <v>0</v>
      </c>
    </row>
    <row r="1476" spans="1:6" ht="12">
      <c r="A1476" s="190">
        <v>240314</v>
      </c>
      <c r="B1476" s="171" t="s">
        <v>991</v>
      </c>
      <c r="C1476" s="200">
        <v>213685136</v>
      </c>
      <c r="D1476" s="178" t="s">
        <v>2548</v>
      </c>
      <c r="E1476" s="180">
        <v>2349</v>
      </c>
      <c r="F1476" s="192">
        <v>0</v>
      </c>
    </row>
    <row r="1477" spans="1:6" ht="12">
      <c r="A1477" s="190">
        <v>240314</v>
      </c>
      <c r="B1477" s="171" t="s">
        <v>991</v>
      </c>
      <c r="C1477" s="200">
        <v>213985139</v>
      </c>
      <c r="D1477" s="178" t="s">
        <v>2549</v>
      </c>
      <c r="E1477" s="180">
        <v>15523</v>
      </c>
      <c r="F1477" s="192">
        <v>0</v>
      </c>
    </row>
    <row r="1478" spans="1:6" ht="12">
      <c r="A1478" s="190">
        <v>240314</v>
      </c>
      <c r="B1478" s="171" t="s">
        <v>991</v>
      </c>
      <c r="C1478" s="200">
        <v>216285162</v>
      </c>
      <c r="D1478" s="178" t="s">
        <v>2550</v>
      </c>
      <c r="E1478" s="180">
        <v>18671</v>
      </c>
      <c r="F1478" s="192">
        <v>0</v>
      </c>
    </row>
    <row r="1479" spans="1:6" ht="12">
      <c r="A1479" s="190">
        <v>240314</v>
      </c>
      <c r="B1479" s="171" t="s">
        <v>991</v>
      </c>
      <c r="C1479" s="200">
        <v>212585225</v>
      </c>
      <c r="D1479" s="178" t="s">
        <v>2551</v>
      </c>
      <c r="E1479" s="180">
        <v>15688</v>
      </c>
      <c r="F1479" s="192">
        <v>0</v>
      </c>
    </row>
    <row r="1480" spans="1:6" ht="12">
      <c r="A1480" s="190">
        <v>240314</v>
      </c>
      <c r="B1480" s="171" t="s">
        <v>991</v>
      </c>
      <c r="C1480" s="200">
        <v>213085230</v>
      </c>
      <c r="D1480" s="178" t="s">
        <v>2552</v>
      </c>
      <c r="E1480" s="180">
        <v>13806</v>
      </c>
      <c r="F1480" s="192">
        <v>0</v>
      </c>
    </row>
    <row r="1481" spans="1:6" ht="12">
      <c r="A1481" s="190">
        <v>240314</v>
      </c>
      <c r="B1481" s="171" t="s">
        <v>991</v>
      </c>
      <c r="C1481" s="200">
        <v>215085250</v>
      </c>
      <c r="D1481" s="178" t="s">
        <v>2553</v>
      </c>
      <c r="E1481" s="180">
        <v>40117</v>
      </c>
      <c r="F1481" s="192">
        <v>0</v>
      </c>
    </row>
    <row r="1482" spans="1:6" ht="12">
      <c r="A1482" s="190">
        <v>240314</v>
      </c>
      <c r="B1482" s="171" t="s">
        <v>991</v>
      </c>
      <c r="C1482" s="200">
        <v>216385263</v>
      </c>
      <c r="D1482" s="178" t="s">
        <v>2554</v>
      </c>
      <c r="E1482" s="180">
        <v>10694</v>
      </c>
      <c r="F1482" s="192">
        <v>0</v>
      </c>
    </row>
    <row r="1483" spans="1:6" ht="12">
      <c r="A1483" s="190">
        <v>240314</v>
      </c>
      <c r="B1483" s="171" t="s">
        <v>991</v>
      </c>
      <c r="C1483" s="200">
        <v>217985279</v>
      </c>
      <c r="D1483" s="178" t="s">
        <v>2555</v>
      </c>
      <c r="E1483" s="180">
        <v>2084</v>
      </c>
      <c r="F1483" s="192">
        <v>0</v>
      </c>
    </row>
    <row r="1484" spans="1:6" ht="12">
      <c r="A1484" s="190">
        <v>240314</v>
      </c>
      <c r="B1484" s="171" t="s">
        <v>991</v>
      </c>
      <c r="C1484" s="200">
        <v>210085300</v>
      </c>
      <c r="D1484" s="178" t="s">
        <v>1241</v>
      </c>
      <c r="E1484" s="180">
        <v>5389</v>
      </c>
      <c r="F1484" s="192">
        <v>0</v>
      </c>
    </row>
    <row r="1485" spans="1:6" ht="12">
      <c r="A1485" s="190">
        <v>240314</v>
      </c>
      <c r="B1485" s="171" t="s">
        <v>991</v>
      </c>
      <c r="C1485" s="200">
        <v>211585315</v>
      </c>
      <c r="D1485" s="178" t="s">
        <v>2556</v>
      </c>
      <c r="E1485" s="180">
        <v>2651</v>
      </c>
      <c r="F1485" s="192">
        <v>0</v>
      </c>
    </row>
    <row r="1486" spans="1:6" ht="12">
      <c r="A1486" s="190">
        <v>240314</v>
      </c>
      <c r="B1486" s="171" t="s">
        <v>991</v>
      </c>
      <c r="C1486" s="200">
        <v>212585325</v>
      </c>
      <c r="D1486" s="178" t="s">
        <v>2557</v>
      </c>
      <c r="E1486" s="180">
        <v>8563</v>
      </c>
      <c r="F1486" s="192">
        <v>0</v>
      </c>
    </row>
    <row r="1487" spans="1:6" ht="12">
      <c r="A1487" s="190">
        <v>240314</v>
      </c>
      <c r="B1487" s="171" t="s">
        <v>991</v>
      </c>
      <c r="C1487" s="200">
        <v>210085400</v>
      </c>
      <c r="D1487" s="178" t="s">
        <v>2558</v>
      </c>
      <c r="E1487" s="180">
        <v>15061</v>
      </c>
      <c r="F1487" s="192">
        <v>0</v>
      </c>
    </row>
    <row r="1488" spans="1:6" ht="12">
      <c r="A1488" s="190">
        <v>240314</v>
      </c>
      <c r="B1488" s="171" t="s">
        <v>991</v>
      </c>
      <c r="C1488" s="200">
        <v>211085410</v>
      </c>
      <c r="D1488" s="178" t="s">
        <v>2559</v>
      </c>
      <c r="E1488" s="180">
        <v>23047</v>
      </c>
      <c r="F1488" s="192">
        <v>0</v>
      </c>
    </row>
    <row r="1489" spans="1:6" ht="12">
      <c r="A1489" s="190">
        <v>240314</v>
      </c>
      <c r="B1489" s="171" t="s">
        <v>991</v>
      </c>
      <c r="C1489" s="200">
        <v>213085430</v>
      </c>
      <c r="D1489" s="178" t="s">
        <v>2560</v>
      </c>
      <c r="E1489" s="180">
        <v>17587</v>
      </c>
      <c r="F1489" s="192">
        <v>0</v>
      </c>
    </row>
    <row r="1490" spans="1:6" ht="12">
      <c r="A1490" s="190">
        <v>240314</v>
      </c>
      <c r="B1490" s="171" t="s">
        <v>991</v>
      </c>
      <c r="C1490" s="200">
        <v>214085440</v>
      </c>
      <c r="D1490" s="178" t="s">
        <v>1427</v>
      </c>
      <c r="E1490" s="180">
        <v>28981</v>
      </c>
      <c r="F1490" s="192">
        <v>0</v>
      </c>
    </row>
    <row r="1491" spans="1:6" ht="12">
      <c r="A1491" s="190">
        <v>240314</v>
      </c>
      <c r="B1491" s="171" t="s">
        <v>991</v>
      </c>
      <c r="C1491" s="174">
        <v>210186001</v>
      </c>
      <c r="D1491" s="178" t="s">
        <v>2561</v>
      </c>
      <c r="E1491" s="180">
        <v>51095</v>
      </c>
      <c r="F1491" s="192">
        <v>0</v>
      </c>
    </row>
    <row r="1492" spans="1:6" ht="12">
      <c r="A1492" s="190">
        <v>240314</v>
      </c>
      <c r="B1492" s="171" t="s">
        <v>991</v>
      </c>
      <c r="C1492" s="174">
        <v>211986219</v>
      </c>
      <c r="D1492" s="178" t="s">
        <v>2562</v>
      </c>
      <c r="E1492" s="180">
        <v>6434</v>
      </c>
      <c r="F1492" s="192">
        <v>0</v>
      </c>
    </row>
    <row r="1493" spans="1:6" ht="12">
      <c r="A1493" s="190">
        <v>240314</v>
      </c>
      <c r="B1493" s="171" t="s">
        <v>991</v>
      </c>
      <c r="C1493" s="200">
        <v>212086320</v>
      </c>
      <c r="D1493" s="178" t="s">
        <v>2563</v>
      </c>
      <c r="E1493" s="180">
        <v>74890</v>
      </c>
      <c r="F1493" s="192">
        <v>0</v>
      </c>
    </row>
    <row r="1494" spans="1:6" ht="12">
      <c r="A1494" s="190">
        <v>240314</v>
      </c>
      <c r="B1494" s="171" t="s">
        <v>991</v>
      </c>
      <c r="C1494" s="200">
        <v>216886568</v>
      </c>
      <c r="D1494" s="178" t="s">
        <v>2564</v>
      </c>
      <c r="E1494" s="180">
        <v>85751</v>
      </c>
      <c r="F1494" s="192">
        <v>0</v>
      </c>
    </row>
    <row r="1495" spans="1:6" ht="12">
      <c r="A1495" s="190">
        <v>240314</v>
      </c>
      <c r="B1495" s="171" t="s">
        <v>991</v>
      </c>
      <c r="C1495" s="200">
        <v>216986569</v>
      </c>
      <c r="D1495" s="178" t="s">
        <v>2565</v>
      </c>
      <c r="E1495" s="180">
        <v>20471</v>
      </c>
      <c r="F1495" s="192">
        <v>0</v>
      </c>
    </row>
    <row r="1496" spans="1:6" ht="12">
      <c r="A1496" s="190">
        <v>240314</v>
      </c>
      <c r="B1496" s="171" t="s">
        <v>991</v>
      </c>
      <c r="C1496" s="200">
        <v>217186571</v>
      </c>
      <c r="D1496" s="178" t="s">
        <v>2566</v>
      </c>
      <c r="E1496" s="180">
        <v>52641</v>
      </c>
      <c r="F1496" s="192">
        <v>0</v>
      </c>
    </row>
    <row r="1497" spans="1:6" ht="12">
      <c r="A1497" s="190">
        <v>240314</v>
      </c>
      <c r="B1497" s="171" t="s">
        <v>991</v>
      </c>
      <c r="C1497" s="174">
        <v>217386573</v>
      </c>
      <c r="D1497" s="178" t="s">
        <v>2567</v>
      </c>
      <c r="E1497" s="180">
        <v>43613</v>
      </c>
      <c r="F1497" s="192">
        <v>0</v>
      </c>
    </row>
    <row r="1498" spans="1:6" ht="12">
      <c r="A1498" s="190">
        <v>240314</v>
      </c>
      <c r="B1498" s="171" t="s">
        <v>991</v>
      </c>
      <c r="C1498" s="174">
        <v>214986749</v>
      </c>
      <c r="D1498" s="178" t="s">
        <v>2568</v>
      </c>
      <c r="E1498" s="180">
        <v>20710</v>
      </c>
      <c r="F1498" s="192">
        <v>0</v>
      </c>
    </row>
    <row r="1499" spans="1:6" ht="12">
      <c r="A1499" s="190">
        <v>240314</v>
      </c>
      <c r="B1499" s="171" t="s">
        <v>991</v>
      </c>
      <c r="C1499" s="174">
        <v>215586755</v>
      </c>
      <c r="D1499" s="178" t="s">
        <v>1249</v>
      </c>
      <c r="E1499" s="180">
        <v>7349</v>
      </c>
      <c r="F1499" s="192">
        <v>0</v>
      </c>
    </row>
    <row r="1500" spans="1:6" ht="12">
      <c r="A1500" s="190">
        <v>240314</v>
      </c>
      <c r="B1500" s="171" t="s">
        <v>991</v>
      </c>
      <c r="C1500" s="174">
        <v>215786757</v>
      </c>
      <c r="D1500" s="178" t="s">
        <v>2569</v>
      </c>
      <c r="E1500" s="180">
        <v>27356</v>
      </c>
      <c r="F1500" s="192">
        <v>0</v>
      </c>
    </row>
    <row r="1501" spans="1:6" ht="12">
      <c r="A1501" s="190">
        <v>240314</v>
      </c>
      <c r="B1501" s="171" t="s">
        <v>991</v>
      </c>
      <c r="C1501" s="174">
        <v>216086760</v>
      </c>
      <c r="D1501" s="178" t="s">
        <v>2276</v>
      </c>
      <c r="E1501" s="180">
        <v>12334</v>
      </c>
      <c r="F1501" s="192">
        <v>0</v>
      </c>
    </row>
    <row r="1502" spans="1:6" ht="12">
      <c r="A1502" s="190">
        <v>240314</v>
      </c>
      <c r="B1502" s="171" t="s">
        <v>991</v>
      </c>
      <c r="C1502" s="174">
        <v>216586865</v>
      </c>
      <c r="D1502" s="178" t="s">
        <v>2570</v>
      </c>
      <c r="E1502" s="180">
        <v>64602</v>
      </c>
      <c r="F1502" s="192">
        <v>0</v>
      </c>
    </row>
    <row r="1503" spans="1:6" ht="12">
      <c r="A1503" s="190">
        <v>240314</v>
      </c>
      <c r="B1503" s="171" t="s">
        <v>991</v>
      </c>
      <c r="C1503" s="174">
        <v>218586885</v>
      </c>
      <c r="D1503" s="178" t="s">
        <v>2571</v>
      </c>
      <c r="E1503" s="180">
        <v>34321</v>
      </c>
      <c r="F1503" s="192">
        <v>0</v>
      </c>
    </row>
    <row r="1504" spans="1:6" ht="12">
      <c r="A1504" s="190">
        <v>240314</v>
      </c>
      <c r="B1504" s="171" t="s">
        <v>991</v>
      </c>
      <c r="C1504" s="174" t="s">
        <v>2572</v>
      </c>
      <c r="D1504" s="178" t="s">
        <v>1017</v>
      </c>
      <c r="E1504" s="180">
        <v>57050</v>
      </c>
      <c r="F1504" s="192">
        <v>0</v>
      </c>
    </row>
    <row r="1505" spans="1:6" ht="12">
      <c r="A1505" s="190">
        <v>240314</v>
      </c>
      <c r="B1505" s="171" t="s">
        <v>991</v>
      </c>
      <c r="C1505" s="174">
        <v>216488564</v>
      </c>
      <c r="D1505" s="178" t="s">
        <v>2573</v>
      </c>
      <c r="E1505" s="180">
        <v>5404</v>
      </c>
      <c r="F1505" s="192">
        <v>0</v>
      </c>
    </row>
    <row r="1506" spans="1:6" ht="12">
      <c r="A1506" s="190">
        <v>240314</v>
      </c>
      <c r="B1506" s="171" t="s">
        <v>991</v>
      </c>
      <c r="C1506" s="200">
        <v>210191001</v>
      </c>
      <c r="D1506" s="178" t="s">
        <v>2574</v>
      </c>
      <c r="E1506" s="180">
        <v>91422</v>
      </c>
      <c r="F1506" s="192">
        <v>0</v>
      </c>
    </row>
    <row r="1507" spans="1:6" ht="12">
      <c r="A1507" s="190">
        <v>240314</v>
      </c>
      <c r="B1507" s="171" t="s">
        <v>991</v>
      </c>
      <c r="C1507" s="200">
        <v>214091540</v>
      </c>
      <c r="D1507" s="178" t="s">
        <v>2575</v>
      </c>
      <c r="E1507" s="180">
        <v>15491</v>
      </c>
      <c r="F1507" s="192">
        <v>0</v>
      </c>
    </row>
    <row r="1508" spans="1:6" ht="12">
      <c r="A1508" s="190">
        <v>240314</v>
      </c>
      <c r="B1508" s="171" t="s">
        <v>991</v>
      </c>
      <c r="C1508" s="174">
        <v>210194001</v>
      </c>
      <c r="D1508" s="178" t="s">
        <v>2576</v>
      </c>
      <c r="E1508" s="180">
        <v>65570</v>
      </c>
      <c r="F1508" s="192">
        <v>0</v>
      </c>
    </row>
    <row r="1509" spans="1:6" ht="12">
      <c r="A1509" s="190">
        <v>240314</v>
      </c>
      <c r="B1509" s="171" t="s">
        <v>991</v>
      </c>
      <c r="C1509" s="174">
        <v>210195001</v>
      </c>
      <c r="D1509" s="178" t="s">
        <v>2577</v>
      </c>
      <c r="E1509" s="180">
        <v>84728</v>
      </c>
      <c r="F1509" s="192">
        <v>0</v>
      </c>
    </row>
    <row r="1510" spans="1:6" ht="12">
      <c r="A1510" s="190">
        <v>240314</v>
      </c>
      <c r="B1510" s="171" t="s">
        <v>991</v>
      </c>
      <c r="C1510" s="200">
        <v>211595015</v>
      </c>
      <c r="D1510" s="178" t="s">
        <v>1366</v>
      </c>
      <c r="E1510" s="180">
        <v>12482</v>
      </c>
      <c r="F1510" s="192">
        <v>0</v>
      </c>
    </row>
    <row r="1511" spans="1:6" ht="12">
      <c r="A1511" s="190">
        <v>240314</v>
      </c>
      <c r="B1511" s="171" t="s">
        <v>991</v>
      </c>
      <c r="C1511" s="174">
        <v>212595025</v>
      </c>
      <c r="D1511" s="178" t="s">
        <v>2578</v>
      </c>
      <c r="E1511" s="180">
        <v>30592</v>
      </c>
      <c r="F1511" s="192">
        <v>0</v>
      </c>
    </row>
    <row r="1512" spans="1:6" ht="12">
      <c r="A1512" s="190">
        <v>240314</v>
      </c>
      <c r="B1512" s="171" t="s">
        <v>991</v>
      </c>
      <c r="C1512" s="174">
        <v>210095200</v>
      </c>
      <c r="D1512" s="178" t="s">
        <v>1525</v>
      </c>
      <c r="E1512" s="180">
        <v>10835</v>
      </c>
      <c r="F1512" s="192">
        <v>0</v>
      </c>
    </row>
    <row r="1513" spans="1:6" ht="12">
      <c r="A1513" s="190">
        <v>240314</v>
      </c>
      <c r="B1513" s="171" t="s">
        <v>991</v>
      </c>
      <c r="C1513" s="200">
        <v>210197001</v>
      </c>
      <c r="D1513" s="178" t="s">
        <v>2579</v>
      </c>
      <c r="E1513" s="180">
        <v>54547</v>
      </c>
      <c r="F1513" s="192">
        <v>0</v>
      </c>
    </row>
    <row r="1514" spans="1:6" ht="12">
      <c r="A1514" s="190">
        <v>240314</v>
      </c>
      <c r="B1514" s="171" t="s">
        <v>991</v>
      </c>
      <c r="C1514" s="200">
        <v>216197161</v>
      </c>
      <c r="D1514" s="178" t="s">
        <v>2580</v>
      </c>
      <c r="E1514" s="180">
        <v>6189</v>
      </c>
      <c r="F1514" s="192">
        <v>0</v>
      </c>
    </row>
    <row r="1515" spans="1:6" ht="12">
      <c r="A1515" s="190">
        <v>240314</v>
      </c>
      <c r="B1515" s="171" t="s">
        <v>991</v>
      </c>
      <c r="C1515" s="200">
        <v>216697666</v>
      </c>
      <c r="D1515" s="178" t="s">
        <v>2581</v>
      </c>
      <c r="E1515" s="180">
        <v>2555</v>
      </c>
      <c r="F1515" s="192">
        <v>0</v>
      </c>
    </row>
    <row r="1516" spans="1:6" ht="12">
      <c r="A1516" s="190">
        <v>240314</v>
      </c>
      <c r="B1516" s="171" t="s">
        <v>991</v>
      </c>
      <c r="C1516" s="200">
        <v>210199001</v>
      </c>
      <c r="D1516" s="178" t="s">
        <v>2582</v>
      </c>
      <c r="E1516" s="180">
        <v>16473</v>
      </c>
      <c r="F1516" s="192">
        <v>0</v>
      </c>
    </row>
    <row r="1517" spans="1:6" ht="12">
      <c r="A1517" s="190">
        <v>240314</v>
      </c>
      <c r="B1517" s="171" t="s">
        <v>991</v>
      </c>
      <c r="C1517" s="200">
        <v>212499524</v>
      </c>
      <c r="D1517" s="178" t="s">
        <v>2583</v>
      </c>
      <c r="E1517" s="180">
        <v>16413</v>
      </c>
      <c r="F1517" s="192">
        <v>0</v>
      </c>
    </row>
    <row r="1518" spans="1:6" ht="12">
      <c r="A1518" s="190">
        <v>240314</v>
      </c>
      <c r="B1518" s="171" t="s">
        <v>991</v>
      </c>
      <c r="C1518" s="200">
        <v>212499624</v>
      </c>
      <c r="D1518" s="178" t="s">
        <v>2584</v>
      </c>
      <c r="E1518" s="180">
        <v>6964</v>
      </c>
      <c r="F1518" s="192">
        <v>0</v>
      </c>
    </row>
    <row r="1519" spans="1:6" ht="12">
      <c r="A1519" s="190">
        <v>240314</v>
      </c>
      <c r="B1519" s="171" t="s">
        <v>991</v>
      </c>
      <c r="C1519" s="200">
        <v>217399773</v>
      </c>
      <c r="D1519" s="178" t="s">
        <v>2585</v>
      </c>
      <c r="E1519" s="180">
        <v>69932</v>
      </c>
      <c r="F1519" s="192">
        <v>0</v>
      </c>
    </row>
    <row r="1520" spans="1:6" ht="24">
      <c r="A1520" s="190">
        <v>242519</v>
      </c>
      <c r="B1520" s="171" t="s">
        <v>2586</v>
      </c>
      <c r="C1520" s="200"/>
      <c r="D1520" s="178" t="s">
        <v>2587</v>
      </c>
      <c r="E1520" s="180">
        <v>0</v>
      </c>
      <c r="F1520" s="192">
        <v>0</v>
      </c>
    </row>
    <row r="1521" spans="1:6" ht="24">
      <c r="A1521" s="190">
        <v>242519</v>
      </c>
      <c r="B1521" s="171" t="s">
        <v>2586</v>
      </c>
      <c r="C1521" s="200"/>
      <c r="D1521" s="178" t="s">
        <v>2588</v>
      </c>
      <c r="E1521" s="180">
        <v>0</v>
      </c>
      <c r="F1521" s="192">
        <v>0</v>
      </c>
    </row>
    <row r="1522" spans="1:6" ht="24">
      <c r="A1522" s="190">
        <v>242519</v>
      </c>
      <c r="B1522" s="171" t="s">
        <v>2586</v>
      </c>
      <c r="C1522" s="200"/>
      <c r="D1522" s="178" t="s">
        <v>2589</v>
      </c>
      <c r="E1522" s="180">
        <v>0</v>
      </c>
      <c r="F1522" s="192">
        <v>0</v>
      </c>
    </row>
    <row r="1523" spans="1:6" ht="12">
      <c r="A1523" s="190">
        <v>243601</v>
      </c>
      <c r="B1523" s="171" t="s">
        <v>2590</v>
      </c>
      <c r="C1523" s="200">
        <v>910300000</v>
      </c>
      <c r="D1523" s="179" t="s">
        <v>2591</v>
      </c>
      <c r="E1523" s="121">
        <v>41588</v>
      </c>
      <c r="F1523" s="120">
        <v>0</v>
      </c>
    </row>
    <row r="1524" spans="1:6" ht="12">
      <c r="A1524" s="190">
        <v>243603</v>
      </c>
      <c r="B1524" s="171" t="s">
        <v>2592</v>
      </c>
      <c r="C1524" s="200">
        <v>910300000</v>
      </c>
      <c r="D1524" s="179" t="s">
        <v>2591</v>
      </c>
      <c r="E1524" s="121">
        <f>130120-11324</f>
        <v>118796</v>
      </c>
      <c r="F1524" s="120">
        <v>0</v>
      </c>
    </row>
    <row r="1525" spans="1:6" ht="12">
      <c r="A1525" s="190">
        <v>243605</v>
      </c>
      <c r="B1525" s="171" t="s">
        <v>2593</v>
      </c>
      <c r="C1525" s="200">
        <v>910300000</v>
      </c>
      <c r="D1525" s="179" t="s">
        <v>2591</v>
      </c>
      <c r="E1525" s="121">
        <f>64161-1583</f>
        <v>62578</v>
      </c>
      <c r="F1525" s="120">
        <v>0</v>
      </c>
    </row>
    <row r="1526" spans="1:6" ht="12">
      <c r="A1526" s="190">
        <v>243608</v>
      </c>
      <c r="B1526" s="171" t="s">
        <v>2594</v>
      </c>
      <c r="C1526" s="200">
        <v>910300000</v>
      </c>
      <c r="D1526" s="179" t="s">
        <v>2591</v>
      </c>
      <c r="E1526" s="121">
        <f>4864-3092</f>
        <v>1772</v>
      </c>
      <c r="F1526" s="120">
        <v>0</v>
      </c>
    </row>
    <row r="1527" spans="1:6" ht="24">
      <c r="A1527" s="190">
        <v>243625</v>
      </c>
      <c r="B1527" s="171" t="s">
        <v>2595</v>
      </c>
      <c r="C1527" s="200">
        <v>910300000</v>
      </c>
      <c r="D1527" s="179" t="s">
        <v>2591</v>
      </c>
      <c r="E1527" s="121">
        <f>196122-5666</f>
        <v>190456</v>
      </c>
      <c r="F1527" s="120">
        <v>0</v>
      </c>
    </row>
    <row r="1528" spans="1:6" ht="12">
      <c r="A1528" s="190">
        <v>243698</v>
      </c>
      <c r="B1528" s="171" t="s">
        <v>2596</v>
      </c>
      <c r="C1528" s="200">
        <v>910300000</v>
      </c>
      <c r="D1528" s="179" t="s">
        <v>2591</v>
      </c>
      <c r="E1528" s="121">
        <f>5606-1840</f>
        <v>3766</v>
      </c>
      <c r="F1528" s="120">
        <v>0</v>
      </c>
    </row>
    <row r="1529" spans="1:6" ht="12">
      <c r="A1529" s="190">
        <v>243701</v>
      </c>
      <c r="B1529" s="171" t="s">
        <v>2597</v>
      </c>
      <c r="C1529" s="205">
        <v>210111001</v>
      </c>
      <c r="D1529" s="181" t="s">
        <v>2598</v>
      </c>
      <c r="E1529" s="121">
        <v>39469</v>
      </c>
      <c r="F1529" s="120">
        <v>0</v>
      </c>
    </row>
    <row r="1530" spans="1:6" ht="24">
      <c r="A1530" s="190">
        <v>244011</v>
      </c>
      <c r="B1530" s="171" t="s">
        <v>2599</v>
      </c>
      <c r="C1530" s="205" t="s">
        <v>2600</v>
      </c>
      <c r="D1530" s="179" t="s">
        <v>2601</v>
      </c>
      <c r="E1530" s="121">
        <v>1029733</v>
      </c>
      <c r="F1530" s="120">
        <v>0</v>
      </c>
    </row>
    <row r="1531" spans="1:6" ht="12">
      <c r="A1531" s="190">
        <v>470501</v>
      </c>
      <c r="B1531" s="171" t="s">
        <v>2602</v>
      </c>
      <c r="C1531" s="205" t="s">
        <v>986</v>
      </c>
      <c r="D1531" s="179" t="s">
        <v>987</v>
      </c>
      <c r="E1531" s="121">
        <v>0</v>
      </c>
      <c r="F1531" s="120">
        <v>6803834</v>
      </c>
    </row>
    <row r="1532" spans="1:6" ht="12">
      <c r="A1532" s="190">
        <v>470502</v>
      </c>
      <c r="B1532" s="171" t="s">
        <v>2603</v>
      </c>
      <c r="C1532" s="205" t="s">
        <v>986</v>
      </c>
      <c r="D1532" s="179" t="s">
        <v>987</v>
      </c>
      <c r="E1532" s="121">
        <v>0</v>
      </c>
      <c r="F1532" s="120">
        <v>1025592</v>
      </c>
    </row>
    <row r="1533" spans="1:6" ht="12">
      <c r="A1533" s="190">
        <v>470505</v>
      </c>
      <c r="B1533" s="171" t="s">
        <v>2604</v>
      </c>
      <c r="C1533" s="205" t="s">
        <v>986</v>
      </c>
      <c r="D1533" s="179" t="s">
        <v>987</v>
      </c>
      <c r="E1533" s="121">
        <v>0</v>
      </c>
      <c r="F1533" s="120">
        <v>113654904</v>
      </c>
    </row>
    <row r="1534" spans="1:6" ht="24">
      <c r="A1534" s="190">
        <v>470506</v>
      </c>
      <c r="B1534" s="171" t="s">
        <v>988</v>
      </c>
      <c r="C1534" s="205" t="s">
        <v>986</v>
      </c>
      <c r="D1534" s="179" t="s">
        <v>987</v>
      </c>
      <c r="E1534" s="121">
        <v>0</v>
      </c>
      <c r="F1534" s="120">
        <v>5540693151</v>
      </c>
    </row>
    <row r="1535" spans="1:6" ht="12">
      <c r="A1535" s="191">
        <v>510124</v>
      </c>
      <c r="B1535" s="171" t="s">
        <v>2605</v>
      </c>
      <c r="C1535" s="202" t="s">
        <v>2606</v>
      </c>
      <c r="D1535" s="179" t="s">
        <v>2607</v>
      </c>
      <c r="E1535" s="121">
        <v>0</v>
      </c>
      <c r="F1535" s="120">
        <f>409978-22212</f>
        <v>387766</v>
      </c>
    </row>
    <row r="1536" spans="1:6" ht="12">
      <c r="A1536" s="191">
        <v>510303</v>
      </c>
      <c r="B1536" s="171" t="s">
        <v>2608</v>
      </c>
      <c r="C1536" s="205" t="s">
        <v>989</v>
      </c>
      <c r="D1536" s="179" t="s">
        <v>2609</v>
      </c>
      <c r="E1536" s="121">
        <v>0</v>
      </c>
      <c r="F1536" s="120">
        <v>0</v>
      </c>
    </row>
    <row r="1537" spans="1:6" ht="12">
      <c r="A1537" s="191">
        <v>510303</v>
      </c>
      <c r="B1537" s="171" t="s">
        <v>2608</v>
      </c>
      <c r="C1537" s="203" t="s">
        <v>2610</v>
      </c>
      <c r="D1537" s="179" t="s">
        <v>2611</v>
      </c>
      <c r="E1537" s="121">
        <v>0</v>
      </c>
      <c r="F1537" s="120">
        <v>0</v>
      </c>
    </row>
    <row r="1538" spans="1:6" ht="12">
      <c r="A1538" s="191">
        <v>510303</v>
      </c>
      <c r="B1538" s="171" t="s">
        <v>2608</v>
      </c>
      <c r="C1538" s="200" t="s">
        <v>2612</v>
      </c>
      <c r="D1538" s="179" t="s">
        <v>2587</v>
      </c>
      <c r="E1538" s="121">
        <v>0</v>
      </c>
      <c r="F1538" s="120">
        <v>0</v>
      </c>
    </row>
    <row r="1539" spans="1:6" ht="12">
      <c r="A1539" s="191">
        <v>510303</v>
      </c>
      <c r="B1539" s="171" t="s">
        <v>2608</v>
      </c>
      <c r="C1539" s="202" t="s">
        <v>979</v>
      </c>
      <c r="D1539" s="179" t="s">
        <v>2613</v>
      </c>
      <c r="E1539" s="121">
        <v>0</v>
      </c>
      <c r="F1539" s="120">
        <v>0</v>
      </c>
    </row>
    <row r="1540" spans="1:6" ht="12">
      <c r="A1540" s="191">
        <v>510305</v>
      </c>
      <c r="B1540" s="171" t="s">
        <v>2614</v>
      </c>
      <c r="C1540" s="200" t="s">
        <v>2612</v>
      </c>
      <c r="D1540" s="179" t="s">
        <v>2615</v>
      </c>
      <c r="E1540" s="121">
        <v>0</v>
      </c>
      <c r="F1540" s="120">
        <v>18360</v>
      </c>
    </row>
    <row r="1541" spans="1:6" ht="24">
      <c r="A1541" s="191">
        <v>510306</v>
      </c>
      <c r="B1541" s="171" t="s">
        <v>2616</v>
      </c>
      <c r="C1541" s="203" t="s">
        <v>2617</v>
      </c>
      <c r="D1541" s="179" t="s">
        <v>2588</v>
      </c>
      <c r="E1541" s="121">
        <v>0</v>
      </c>
      <c r="F1541" s="120">
        <v>113754</v>
      </c>
    </row>
    <row r="1542" spans="1:6" ht="24">
      <c r="A1542" s="191">
        <v>510306</v>
      </c>
      <c r="B1542" s="171" t="s">
        <v>2616</v>
      </c>
      <c r="C1542" s="205" t="s">
        <v>989</v>
      </c>
      <c r="D1542" s="179" t="s">
        <v>2618</v>
      </c>
      <c r="E1542" s="121">
        <v>0</v>
      </c>
      <c r="F1542" s="120">
        <v>18281</v>
      </c>
    </row>
    <row r="1543" spans="1:6" ht="24">
      <c r="A1543" s="191">
        <v>510306</v>
      </c>
      <c r="B1543" s="171" t="s">
        <v>2616</v>
      </c>
      <c r="C1543" s="200" t="s">
        <v>2612</v>
      </c>
      <c r="D1543" s="179" t="s">
        <v>2587</v>
      </c>
      <c r="E1543" s="121">
        <v>0</v>
      </c>
      <c r="F1543" s="120">
        <v>193340</v>
      </c>
    </row>
    <row r="1544" spans="1:6" ht="12">
      <c r="A1544" s="191">
        <v>510401</v>
      </c>
      <c r="B1544" s="171" t="s">
        <v>2619</v>
      </c>
      <c r="C1544" s="205" t="s">
        <v>2620</v>
      </c>
      <c r="D1544" s="181" t="s">
        <v>2621</v>
      </c>
      <c r="E1544" s="121">
        <v>0</v>
      </c>
      <c r="F1544" s="120">
        <f>4365179-19170</f>
        <v>4346009</v>
      </c>
    </row>
    <row r="1545" spans="1:6" ht="12">
      <c r="A1545" s="191">
        <v>510402</v>
      </c>
      <c r="B1545" s="171" t="s">
        <v>2622</v>
      </c>
      <c r="C1545" s="205" t="s">
        <v>2623</v>
      </c>
      <c r="D1545" s="181" t="s">
        <v>2624</v>
      </c>
      <c r="E1545" s="121">
        <v>0</v>
      </c>
      <c r="F1545" s="120">
        <v>18724</v>
      </c>
    </row>
    <row r="1546" spans="1:6" ht="12">
      <c r="A1546" s="191">
        <v>510403</v>
      </c>
      <c r="B1546" s="171" t="s">
        <v>2625</v>
      </c>
      <c r="C1546" s="200" t="s">
        <v>2626</v>
      </c>
      <c r="D1546" s="181" t="s">
        <v>2627</v>
      </c>
      <c r="E1546" s="121">
        <v>0</v>
      </c>
      <c r="F1546" s="120">
        <v>684618</v>
      </c>
    </row>
    <row r="1547" spans="1:6" ht="12">
      <c r="A1547" s="191">
        <v>511117</v>
      </c>
      <c r="B1547" s="171" t="s">
        <v>2628</v>
      </c>
      <c r="C1547" s="200">
        <v>234111001</v>
      </c>
      <c r="D1547" s="181" t="s">
        <v>2629</v>
      </c>
      <c r="E1547" s="121">
        <v>0</v>
      </c>
      <c r="F1547" s="120">
        <v>31237</v>
      </c>
    </row>
    <row r="1548" spans="1:6" ht="12">
      <c r="A1548" s="191">
        <v>511117</v>
      </c>
      <c r="B1548" s="171" t="s">
        <v>2628</v>
      </c>
      <c r="C1548" s="205" t="s">
        <v>2630</v>
      </c>
      <c r="D1548" s="181" t="s">
        <v>2631</v>
      </c>
      <c r="E1548" s="121">
        <v>0</v>
      </c>
      <c r="F1548" s="120">
        <v>36693</v>
      </c>
    </row>
    <row r="1549" spans="1:6" ht="12">
      <c r="A1549" s="191">
        <v>511117</v>
      </c>
      <c r="B1549" s="171" t="s">
        <v>2628</v>
      </c>
      <c r="C1549" s="200">
        <v>234011001</v>
      </c>
      <c r="D1549" s="181" t="s">
        <v>2632</v>
      </c>
      <c r="E1549" s="121">
        <v>0</v>
      </c>
      <c r="F1549" s="120">
        <v>9581</v>
      </c>
    </row>
    <row r="1550" spans="1:6" ht="12">
      <c r="A1550" s="191">
        <v>511123</v>
      </c>
      <c r="B1550" s="171" t="s">
        <v>2633</v>
      </c>
      <c r="C1550" s="205" t="s">
        <v>2634</v>
      </c>
      <c r="D1550" s="181" t="s">
        <v>2635</v>
      </c>
      <c r="E1550" s="121">
        <v>0</v>
      </c>
      <c r="F1550" s="120">
        <v>2946</v>
      </c>
    </row>
    <row r="1551" spans="1:6" ht="12">
      <c r="A1551" s="191">
        <v>512001</v>
      </c>
      <c r="B1551" s="171" t="s">
        <v>372</v>
      </c>
      <c r="C1551" s="205">
        <v>210111001</v>
      </c>
      <c r="D1551" s="181" t="s">
        <v>2598</v>
      </c>
      <c r="E1551" s="121">
        <v>0</v>
      </c>
      <c r="F1551" s="120">
        <v>4667</v>
      </c>
    </row>
    <row r="1552" spans="1:6" ht="12">
      <c r="A1552" s="191">
        <v>512011</v>
      </c>
      <c r="B1552" s="171" t="s">
        <v>2636</v>
      </c>
      <c r="C1552" s="205">
        <v>112525000</v>
      </c>
      <c r="D1552" s="181" t="s">
        <v>2637</v>
      </c>
      <c r="E1552" s="121">
        <v>0</v>
      </c>
      <c r="F1552" s="120">
        <v>1850</v>
      </c>
    </row>
    <row r="1553" spans="1:6" ht="12">
      <c r="A1553" s="191">
        <v>512011</v>
      </c>
      <c r="B1553" s="171" t="s">
        <v>2638</v>
      </c>
      <c r="C1553" s="205">
        <v>210111001</v>
      </c>
      <c r="D1553" s="181" t="s">
        <v>2598</v>
      </c>
      <c r="E1553" s="121">
        <v>0</v>
      </c>
      <c r="F1553" s="120">
        <v>2237</v>
      </c>
    </row>
    <row r="1554" spans="1:6" ht="11.25" customHeight="1">
      <c r="A1554" s="191">
        <v>512011</v>
      </c>
      <c r="B1554" s="171" t="s">
        <v>2638</v>
      </c>
      <c r="C1554" s="200">
        <v>112525000</v>
      </c>
      <c r="D1554" s="181" t="s">
        <v>2639</v>
      </c>
      <c r="E1554" s="121">
        <v>0</v>
      </c>
      <c r="F1554" s="120">
        <v>2366</v>
      </c>
    </row>
    <row r="1555" spans="1:6" ht="12">
      <c r="A1555" s="191">
        <v>512024</v>
      </c>
      <c r="B1555" s="171" t="s">
        <v>2640</v>
      </c>
      <c r="C1555" s="200">
        <v>910300000</v>
      </c>
      <c r="D1555" s="181" t="s">
        <v>2641</v>
      </c>
      <c r="E1555" s="121">
        <v>0</v>
      </c>
      <c r="F1555" s="120">
        <v>7844</v>
      </c>
    </row>
    <row r="1556" spans="1:6" ht="14.25" customHeight="1">
      <c r="A1556" s="190">
        <v>540301</v>
      </c>
      <c r="B1556" s="176" t="s">
        <v>2642</v>
      </c>
      <c r="C1556" s="203" t="s">
        <v>2643</v>
      </c>
      <c r="D1556" s="181" t="s">
        <v>2644</v>
      </c>
      <c r="E1556" s="121">
        <v>518418038</v>
      </c>
      <c r="F1556" s="120">
        <v>0</v>
      </c>
    </row>
    <row r="1557" spans="1:6" ht="24">
      <c r="A1557" s="190">
        <v>540304</v>
      </c>
      <c r="B1557" s="176" t="s">
        <v>2645</v>
      </c>
      <c r="C1557" s="202" t="s">
        <v>979</v>
      </c>
      <c r="D1557" s="181" t="s">
        <v>980</v>
      </c>
      <c r="E1557" s="121">
        <v>212900942</v>
      </c>
      <c r="F1557" s="120">
        <v>0</v>
      </c>
    </row>
    <row r="1558" spans="1:6" ht="24">
      <c r="A1558" s="190">
        <v>540304</v>
      </c>
      <c r="B1558" s="178" t="s">
        <v>2645</v>
      </c>
      <c r="C1558" s="200">
        <v>821700000</v>
      </c>
      <c r="D1558" s="181" t="s">
        <v>2646</v>
      </c>
      <c r="E1558" s="121">
        <v>2212651</v>
      </c>
      <c r="F1558" s="120">
        <v>0</v>
      </c>
    </row>
    <row r="1559" spans="1:6" ht="24">
      <c r="A1559" s="190">
        <v>540304</v>
      </c>
      <c r="B1559" s="178" t="s">
        <v>2645</v>
      </c>
      <c r="C1559" s="205" t="s">
        <v>2647</v>
      </c>
      <c r="D1559" s="179" t="s">
        <v>2648</v>
      </c>
      <c r="E1559" s="121">
        <v>7814553</v>
      </c>
      <c r="F1559" s="120">
        <v>0</v>
      </c>
    </row>
    <row r="1560" spans="1:6" ht="24">
      <c r="A1560" s="190">
        <v>540304</v>
      </c>
      <c r="B1560" s="178" t="s">
        <v>2645</v>
      </c>
      <c r="C1560" s="200">
        <v>826076000</v>
      </c>
      <c r="D1560" s="179" t="s">
        <v>2649</v>
      </c>
      <c r="E1560" s="121">
        <v>2440234</v>
      </c>
      <c r="F1560" s="120">
        <v>0</v>
      </c>
    </row>
    <row r="1561" spans="1:6" ht="24">
      <c r="A1561" s="190">
        <v>540304</v>
      </c>
      <c r="B1561" s="178" t="s">
        <v>2645</v>
      </c>
      <c r="C1561" s="205" t="s">
        <v>2650</v>
      </c>
      <c r="D1561" s="179" t="s">
        <v>2651</v>
      </c>
      <c r="E1561" s="121">
        <v>25274120</v>
      </c>
      <c r="F1561" s="120">
        <v>0</v>
      </c>
    </row>
    <row r="1562" spans="1:6" ht="24">
      <c r="A1562" s="190">
        <v>540304</v>
      </c>
      <c r="B1562" s="178" t="s">
        <v>2645</v>
      </c>
      <c r="C1562" s="205" t="s">
        <v>2652</v>
      </c>
      <c r="D1562" s="179" t="s">
        <v>2653</v>
      </c>
      <c r="E1562" s="121">
        <v>13462409</v>
      </c>
      <c r="F1562" s="120">
        <v>0</v>
      </c>
    </row>
    <row r="1563" spans="1:6" ht="24">
      <c r="A1563" s="190">
        <v>540304</v>
      </c>
      <c r="B1563" s="178" t="s">
        <v>2645</v>
      </c>
      <c r="C1563" s="202" t="s">
        <v>2654</v>
      </c>
      <c r="D1563" s="179" t="s">
        <v>2655</v>
      </c>
      <c r="E1563" s="121">
        <v>5805642</v>
      </c>
      <c r="F1563" s="120">
        <v>0</v>
      </c>
    </row>
    <row r="1564" spans="1:6" ht="24">
      <c r="A1564" s="190">
        <v>540304</v>
      </c>
      <c r="B1564" s="178" t="s">
        <v>2645</v>
      </c>
      <c r="C1564" s="203" t="s">
        <v>2656</v>
      </c>
      <c r="D1564" s="179" t="s">
        <v>2657</v>
      </c>
      <c r="E1564" s="121">
        <v>26377862</v>
      </c>
      <c r="F1564" s="120">
        <v>0</v>
      </c>
    </row>
    <row r="1565" spans="1:6" ht="24">
      <c r="A1565" s="190">
        <v>540304</v>
      </c>
      <c r="B1565" s="178" t="s">
        <v>2645</v>
      </c>
      <c r="C1565" s="203" t="s">
        <v>981</v>
      </c>
      <c r="D1565" s="179" t="s">
        <v>2658</v>
      </c>
      <c r="E1565" s="121">
        <v>28541094</v>
      </c>
      <c r="F1565" s="120">
        <v>0</v>
      </c>
    </row>
    <row r="1566" spans="1:6" ht="24">
      <c r="A1566" s="190">
        <v>540304</v>
      </c>
      <c r="B1566" s="178" t="s">
        <v>2645</v>
      </c>
      <c r="C1566" s="202" t="s">
        <v>983</v>
      </c>
      <c r="D1566" s="179" t="s">
        <v>2659</v>
      </c>
      <c r="E1566" s="121">
        <v>17018280</v>
      </c>
      <c r="F1566" s="120">
        <v>0</v>
      </c>
    </row>
    <row r="1567" spans="1:6" ht="24">
      <c r="A1567" s="190">
        <v>540304</v>
      </c>
      <c r="B1567" s="178" t="s">
        <v>2645</v>
      </c>
      <c r="C1567" s="202" t="s">
        <v>2660</v>
      </c>
      <c r="D1567" s="179" t="s">
        <v>2661</v>
      </c>
      <c r="E1567" s="121">
        <v>31675158</v>
      </c>
      <c r="F1567" s="120">
        <v>0</v>
      </c>
    </row>
    <row r="1568" spans="1:6" ht="24">
      <c r="A1568" s="190">
        <v>540304</v>
      </c>
      <c r="B1568" s="178" t="s">
        <v>2645</v>
      </c>
      <c r="C1568" s="203" t="s">
        <v>2662</v>
      </c>
      <c r="D1568" s="179" t="s">
        <v>2663</v>
      </c>
      <c r="E1568" s="121">
        <v>11152329</v>
      </c>
      <c r="F1568" s="120">
        <v>0</v>
      </c>
    </row>
    <row r="1569" spans="1:6" ht="24">
      <c r="A1569" s="190">
        <v>540304</v>
      </c>
      <c r="B1569" s="178" t="s">
        <v>2645</v>
      </c>
      <c r="C1569" s="202" t="s">
        <v>2664</v>
      </c>
      <c r="D1569" s="179" t="s">
        <v>2665</v>
      </c>
      <c r="E1569" s="121">
        <v>4470420</v>
      </c>
      <c r="F1569" s="120">
        <v>0</v>
      </c>
    </row>
    <row r="1570" spans="1:6" ht="24">
      <c r="A1570" s="190">
        <v>540304</v>
      </c>
      <c r="B1570" s="178" t="s">
        <v>2645</v>
      </c>
      <c r="C1570" s="202" t="s">
        <v>2666</v>
      </c>
      <c r="D1570" s="179" t="s">
        <v>2667</v>
      </c>
      <c r="E1570" s="121">
        <v>30065956</v>
      </c>
      <c r="F1570" s="120">
        <v>0</v>
      </c>
    </row>
    <row r="1571" spans="1:6" ht="24">
      <c r="A1571" s="190">
        <v>540304</v>
      </c>
      <c r="B1571" s="178" t="s">
        <v>2645</v>
      </c>
      <c r="C1571" s="202" t="s">
        <v>2668</v>
      </c>
      <c r="D1571" s="179" t="s">
        <v>2669</v>
      </c>
      <c r="E1571" s="121">
        <v>6825686</v>
      </c>
      <c r="F1571" s="120">
        <v>0</v>
      </c>
    </row>
    <row r="1572" spans="1:6" ht="24">
      <c r="A1572" s="190">
        <v>540311</v>
      </c>
      <c r="B1572" s="178" t="s">
        <v>2670</v>
      </c>
      <c r="C1572" s="200">
        <v>120205000</v>
      </c>
      <c r="D1572" s="178" t="s">
        <v>2671</v>
      </c>
      <c r="E1572" s="121">
        <v>79533600</v>
      </c>
      <c r="F1572" s="120">
        <v>0</v>
      </c>
    </row>
    <row r="1573" spans="1:6" ht="24">
      <c r="A1573" s="190">
        <v>540311</v>
      </c>
      <c r="B1573" s="178" t="s">
        <v>2670</v>
      </c>
      <c r="C1573" s="200">
        <v>120676000</v>
      </c>
      <c r="D1573" s="178" t="s">
        <v>2672</v>
      </c>
      <c r="E1573" s="121">
        <v>65541376</v>
      </c>
      <c r="F1573" s="120">
        <v>0</v>
      </c>
    </row>
    <row r="1574" spans="1:6" ht="24">
      <c r="A1574" s="190">
        <v>540311</v>
      </c>
      <c r="B1574" s="178" t="s">
        <v>2670</v>
      </c>
      <c r="C1574" s="200">
        <v>121647000</v>
      </c>
      <c r="D1574" s="178" t="s">
        <v>2673</v>
      </c>
      <c r="E1574" s="121">
        <v>11628296</v>
      </c>
      <c r="F1574" s="120">
        <v>0</v>
      </c>
    </row>
    <row r="1575" spans="1:6" ht="24">
      <c r="A1575" s="190">
        <v>540311</v>
      </c>
      <c r="B1575" s="178" t="s">
        <v>2670</v>
      </c>
      <c r="C1575" s="200">
        <v>121708000</v>
      </c>
      <c r="D1575" s="178" t="s">
        <v>2674</v>
      </c>
      <c r="E1575" s="121">
        <v>39577734</v>
      </c>
      <c r="F1575" s="120">
        <v>0</v>
      </c>
    </row>
    <row r="1576" spans="1:6" ht="24">
      <c r="A1576" s="190">
        <v>540311</v>
      </c>
      <c r="B1576" s="178" t="s">
        <v>2670</v>
      </c>
      <c r="C1576" s="200">
        <v>122613000</v>
      </c>
      <c r="D1576" s="178" t="s">
        <v>2675</v>
      </c>
      <c r="E1576" s="121">
        <v>22036957</v>
      </c>
      <c r="F1576" s="120">
        <v>0</v>
      </c>
    </row>
    <row r="1577" spans="1:6" ht="24">
      <c r="A1577" s="190">
        <v>540311</v>
      </c>
      <c r="B1577" s="178" t="s">
        <v>2670</v>
      </c>
      <c r="C1577" s="200">
        <v>124876000</v>
      </c>
      <c r="D1577" s="178" t="s">
        <v>2676</v>
      </c>
      <c r="E1577" s="121">
        <v>527745</v>
      </c>
      <c r="F1577" s="120">
        <v>0</v>
      </c>
    </row>
    <row r="1578" spans="1:6" ht="24">
      <c r="A1578" s="190">
        <v>540311</v>
      </c>
      <c r="B1578" s="178" t="s">
        <v>2670</v>
      </c>
      <c r="C1578" s="200">
        <v>124552000</v>
      </c>
      <c r="D1578" s="178" t="s">
        <v>2677</v>
      </c>
      <c r="E1578" s="121">
        <v>16535699</v>
      </c>
      <c r="F1578" s="120">
        <v>0</v>
      </c>
    </row>
    <row r="1579" spans="1:6" ht="24">
      <c r="A1579" s="190">
        <v>540311</v>
      </c>
      <c r="B1579" s="178" t="s">
        <v>2670</v>
      </c>
      <c r="C1579" s="200">
        <v>125454000</v>
      </c>
      <c r="D1579" s="178" t="s">
        <v>2678</v>
      </c>
      <c r="E1579" s="121">
        <v>7656825</v>
      </c>
      <c r="F1579" s="120">
        <v>0</v>
      </c>
    </row>
    <row r="1580" spans="1:6" ht="24">
      <c r="A1580" s="190">
        <v>540311</v>
      </c>
      <c r="B1580" s="178" t="s">
        <v>2670</v>
      </c>
      <c r="C1580" s="200">
        <v>126663000</v>
      </c>
      <c r="D1580" s="178" t="s">
        <v>2679</v>
      </c>
      <c r="E1580" s="121">
        <v>13747040</v>
      </c>
      <c r="F1580" s="120">
        <v>0</v>
      </c>
    </row>
    <row r="1581" spans="1:6" ht="24">
      <c r="A1581" s="190">
        <v>540311</v>
      </c>
      <c r="B1581" s="178" t="s">
        <v>2670</v>
      </c>
      <c r="C1581" s="200">
        <v>127625000</v>
      </c>
      <c r="D1581" s="178" t="s">
        <v>2680</v>
      </c>
      <c r="E1581" s="121">
        <v>2451921</v>
      </c>
      <c r="F1581" s="120">
        <v>0</v>
      </c>
    </row>
    <row r="1582" spans="1:6" ht="24">
      <c r="A1582" s="190">
        <v>540311</v>
      </c>
      <c r="B1582" s="178" t="s">
        <v>2670</v>
      </c>
      <c r="C1582" s="200">
        <v>128868000</v>
      </c>
      <c r="D1582" s="178" t="s">
        <v>2681</v>
      </c>
      <c r="E1582" s="121">
        <v>31846319</v>
      </c>
      <c r="F1582" s="120">
        <v>0</v>
      </c>
    </row>
    <row r="1583" spans="1:6" ht="24">
      <c r="A1583" s="190">
        <v>540311</v>
      </c>
      <c r="B1583" s="178" t="s">
        <v>2670</v>
      </c>
      <c r="C1583" s="200">
        <v>128870000</v>
      </c>
      <c r="D1583" s="178" t="s">
        <v>2682</v>
      </c>
      <c r="E1583" s="121">
        <v>4292122</v>
      </c>
      <c r="F1583" s="120">
        <v>0</v>
      </c>
    </row>
    <row r="1584" spans="1:6" ht="24">
      <c r="A1584" s="190">
        <v>540311</v>
      </c>
      <c r="B1584" s="178" t="s">
        <v>2670</v>
      </c>
      <c r="C1584" s="200">
        <v>125354000</v>
      </c>
      <c r="D1584" s="178" t="s">
        <v>2683</v>
      </c>
      <c r="E1584" s="121">
        <v>8295322</v>
      </c>
      <c r="F1584" s="120">
        <v>0</v>
      </c>
    </row>
    <row r="1585" spans="1:6" ht="24">
      <c r="A1585" s="190">
        <v>540311</v>
      </c>
      <c r="B1585" s="178" t="s">
        <v>2670</v>
      </c>
      <c r="C1585" s="200">
        <v>129254000</v>
      </c>
      <c r="D1585" s="178" t="s">
        <v>2684</v>
      </c>
      <c r="E1585" s="121">
        <v>2002556</v>
      </c>
      <c r="F1585" s="120">
        <v>0</v>
      </c>
    </row>
    <row r="1586" spans="1:6" ht="24">
      <c r="A1586" s="190">
        <v>540311</v>
      </c>
      <c r="B1586" s="178" t="s">
        <v>2670</v>
      </c>
      <c r="C1586" s="200">
        <v>129373000</v>
      </c>
      <c r="D1586" s="178" t="s">
        <v>2685</v>
      </c>
      <c r="E1586" s="121">
        <v>10988016</v>
      </c>
      <c r="F1586" s="120">
        <v>0</v>
      </c>
    </row>
    <row r="1587" spans="1:6" ht="24">
      <c r="A1587" s="190">
        <v>540311</v>
      </c>
      <c r="B1587" s="178" t="s">
        <v>2670</v>
      </c>
      <c r="C1587" s="200">
        <v>129444000</v>
      </c>
      <c r="D1587" s="178" t="s">
        <v>2686</v>
      </c>
      <c r="E1587" s="121">
        <v>4333708</v>
      </c>
      <c r="F1587" s="120">
        <v>0</v>
      </c>
    </row>
    <row r="1588" spans="1:6" ht="24">
      <c r="A1588" s="190">
        <v>540318</v>
      </c>
      <c r="B1588" s="178" t="s">
        <v>2687</v>
      </c>
      <c r="C1588" s="200">
        <v>222711001</v>
      </c>
      <c r="D1588" s="178" t="s">
        <v>2688</v>
      </c>
      <c r="E1588" s="121">
        <v>4623705</v>
      </c>
      <c r="F1588" s="120">
        <v>0</v>
      </c>
    </row>
    <row r="1589" spans="1:6" ht="12">
      <c r="A1589" s="190">
        <v>540802</v>
      </c>
      <c r="B1589" s="178" t="s">
        <v>2689</v>
      </c>
      <c r="C1589" s="205">
        <v>110505000</v>
      </c>
      <c r="D1589" s="178" t="s">
        <v>2690</v>
      </c>
      <c r="E1589" s="180">
        <v>268941865</v>
      </c>
      <c r="F1589" s="120">
        <v>0</v>
      </c>
    </row>
    <row r="1590" spans="1:6" ht="12">
      <c r="A1590" s="190">
        <v>540802</v>
      </c>
      <c r="B1590" s="178" t="s">
        <v>2689</v>
      </c>
      <c r="C1590" s="200">
        <v>110808000</v>
      </c>
      <c r="D1590" s="178" t="s">
        <v>2691</v>
      </c>
      <c r="E1590" s="180">
        <v>62048896</v>
      </c>
      <c r="F1590" s="120">
        <v>0</v>
      </c>
    </row>
    <row r="1591" spans="1:6" ht="12">
      <c r="A1591" s="190">
        <v>540802</v>
      </c>
      <c r="B1591" s="178" t="s">
        <v>2689</v>
      </c>
      <c r="C1591" s="200">
        <v>111313000</v>
      </c>
      <c r="D1591" s="178" t="s">
        <v>2692</v>
      </c>
      <c r="E1591" s="180">
        <v>116002254</v>
      </c>
      <c r="F1591" s="120">
        <v>0</v>
      </c>
    </row>
    <row r="1592" spans="1:6" ht="12">
      <c r="A1592" s="190">
        <v>540802</v>
      </c>
      <c r="B1592" s="178" t="s">
        <v>2689</v>
      </c>
      <c r="C1592" s="200">
        <v>111515000</v>
      </c>
      <c r="D1592" s="178" t="s">
        <v>2693</v>
      </c>
      <c r="E1592" s="180">
        <v>125110647</v>
      </c>
      <c r="F1592" s="120">
        <v>0</v>
      </c>
    </row>
    <row r="1593" spans="1:6" ht="12">
      <c r="A1593" s="190">
        <v>540802</v>
      </c>
      <c r="B1593" s="178" t="s">
        <v>2689</v>
      </c>
      <c r="C1593" s="200">
        <v>111717000</v>
      </c>
      <c r="D1593" s="178" t="s">
        <v>2694</v>
      </c>
      <c r="E1593" s="180">
        <v>62194221</v>
      </c>
      <c r="F1593" s="120">
        <v>0</v>
      </c>
    </row>
    <row r="1594" spans="1:6" ht="12">
      <c r="A1594" s="190">
        <v>540802</v>
      </c>
      <c r="B1594" s="178" t="s">
        <v>2689</v>
      </c>
      <c r="C1594" s="200">
        <v>111818000</v>
      </c>
      <c r="D1594" s="178" t="s">
        <v>2695</v>
      </c>
      <c r="E1594" s="180">
        <v>33319769</v>
      </c>
      <c r="F1594" s="120">
        <v>0</v>
      </c>
    </row>
    <row r="1595" spans="1:6" ht="12">
      <c r="A1595" s="190">
        <v>540802</v>
      </c>
      <c r="B1595" s="178" t="s">
        <v>2689</v>
      </c>
      <c r="C1595" s="200">
        <v>111919000</v>
      </c>
      <c r="D1595" s="178" t="s">
        <v>2696</v>
      </c>
      <c r="E1595" s="180">
        <v>115185876</v>
      </c>
      <c r="F1595" s="120">
        <v>0</v>
      </c>
    </row>
    <row r="1596" spans="1:6" ht="12">
      <c r="A1596" s="190">
        <v>540802</v>
      </c>
      <c r="B1596" s="178" t="s">
        <v>2689</v>
      </c>
      <c r="C1596" s="200">
        <v>112020000</v>
      </c>
      <c r="D1596" s="178" t="s">
        <v>2697</v>
      </c>
      <c r="E1596" s="180">
        <v>71462367</v>
      </c>
      <c r="F1596" s="120">
        <v>0</v>
      </c>
    </row>
    <row r="1597" spans="1:6" ht="12">
      <c r="A1597" s="190">
        <v>540802</v>
      </c>
      <c r="B1597" s="178" t="s">
        <v>2689</v>
      </c>
      <c r="C1597" s="200">
        <v>112727000</v>
      </c>
      <c r="D1597" s="178" t="s">
        <v>2698</v>
      </c>
      <c r="E1597" s="180">
        <v>114140817</v>
      </c>
      <c r="F1597" s="120">
        <v>0</v>
      </c>
    </row>
    <row r="1598" spans="1:6" ht="12">
      <c r="A1598" s="190">
        <v>540802</v>
      </c>
      <c r="B1598" s="178" t="s">
        <v>2689</v>
      </c>
      <c r="C1598" s="200">
        <v>112323000</v>
      </c>
      <c r="D1598" s="178" t="s">
        <v>2699</v>
      </c>
      <c r="E1598" s="180">
        <v>172604455</v>
      </c>
      <c r="F1598" s="120">
        <v>0</v>
      </c>
    </row>
    <row r="1599" spans="1:6" ht="12">
      <c r="A1599" s="190">
        <v>540802</v>
      </c>
      <c r="B1599" s="178" t="s">
        <v>2689</v>
      </c>
      <c r="C1599" s="200">
        <v>112525000</v>
      </c>
      <c r="D1599" s="178" t="s">
        <v>2700</v>
      </c>
      <c r="E1599" s="180">
        <v>67732448</v>
      </c>
      <c r="F1599" s="120">
        <v>0</v>
      </c>
    </row>
    <row r="1600" spans="1:6" ht="12">
      <c r="A1600" s="190">
        <v>540802</v>
      </c>
      <c r="B1600" s="178" t="s">
        <v>2689</v>
      </c>
      <c r="C1600" s="200">
        <v>114141000</v>
      </c>
      <c r="D1600" s="178" t="s">
        <v>2701</v>
      </c>
      <c r="E1600" s="180">
        <v>76258247</v>
      </c>
      <c r="F1600" s="120">
        <v>0</v>
      </c>
    </row>
    <row r="1601" spans="1:6" ht="12">
      <c r="A1601" s="190">
        <v>540802</v>
      </c>
      <c r="B1601" s="178" t="s">
        <v>2689</v>
      </c>
      <c r="C1601" s="200">
        <v>114444000</v>
      </c>
      <c r="D1601" s="178" t="s">
        <v>2702</v>
      </c>
      <c r="E1601" s="180">
        <v>52794670</v>
      </c>
      <c r="F1601" s="120">
        <v>0</v>
      </c>
    </row>
    <row r="1602" spans="1:6" ht="12">
      <c r="A1602" s="190">
        <v>540802</v>
      </c>
      <c r="B1602" s="178" t="s">
        <v>2689</v>
      </c>
      <c r="C1602" s="200">
        <v>114747000</v>
      </c>
      <c r="D1602" s="178" t="s">
        <v>2703</v>
      </c>
      <c r="E1602" s="180">
        <v>90639236</v>
      </c>
      <c r="F1602" s="120">
        <v>0</v>
      </c>
    </row>
    <row r="1603" spans="1:6" ht="12">
      <c r="A1603" s="190">
        <v>540802</v>
      </c>
      <c r="B1603" s="178" t="s">
        <v>2689</v>
      </c>
      <c r="C1603" s="200">
        <v>115050000</v>
      </c>
      <c r="D1603" s="178" t="s">
        <v>2704</v>
      </c>
      <c r="E1603" s="180">
        <v>43304772</v>
      </c>
      <c r="F1603" s="120">
        <v>0</v>
      </c>
    </row>
    <row r="1604" spans="1:6" ht="12">
      <c r="A1604" s="190">
        <v>540802</v>
      </c>
      <c r="B1604" s="178" t="s">
        <v>2689</v>
      </c>
      <c r="C1604" s="200">
        <v>115252000</v>
      </c>
      <c r="D1604" s="178" t="s">
        <v>2705</v>
      </c>
      <c r="E1604" s="180">
        <v>113884003</v>
      </c>
      <c r="F1604" s="120">
        <v>0</v>
      </c>
    </row>
    <row r="1605" spans="1:6" ht="12">
      <c r="A1605" s="190">
        <v>540802</v>
      </c>
      <c r="B1605" s="178" t="s">
        <v>2689</v>
      </c>
      <c r="C1605" s="200">
        <v>115454000</v>
      </c>
      <c r="D1605" s="178" t="s">
        <v>2706</v>
      </c>
      <c r="E1605" s="180">
        <v>73094421</v>
      </c>
      <c r="F1605" s="120">
        <v>0</v>
      </c>
    </row>
    <row r="1606" spans="1:6" ht="12">
      <c r="A1606" s="190">
        <v>540802</v>
      </c>
      <c r="B1606" s="178" t="s">
        <v>2689</v>
      </c>
      <c r="C1606" s="200">
        <v>116363000</v>
      </c>
      <c r="D1606" s="178" t="s">
        <v>2707</v>
      </c>
      <c r="E1606" s="180">
        <v>27866188</v>
      </c>
      <c r="F1606" s="120">
        <v>0</v>
      </c>
    </row>
    <row r="1607" spans="1:6" ht="12">
      <c r="A1607" s="190">
        <v>540802</v>
      </c>
      <c r="B1607" s="178" t="s">
        <v>2689</v>
      </c>
      <c r="C1607" s="200">
        <v>116666000</v>
      </c>
      <c r="D1607" s="178" t="s">
        <v>2708</v>
      </c>
      <c r="E1607" s="180">
        <v>32216749</v>
      </c>
      <c r="F1607" s="120">
        <v>0</v>
      </c>
    </row>
    <row r="1608" spans="1:6" ht="12">
      <c r="A1608" s="190">
        <v>540802</v>
      </c>
      <c r="B1608" s="178" t="s">
        <v>2689</v>
      </c>
      <c r="C1608" s="200">
        <v>116868000</v>
      </c>
      <c r="D1608" s="178" t="s">
        <v>2709</v>
      </c>
      <c r="E1608" s="180">
        <v>117071412</v>
      </c>
      <c r="F1608" s="120">
        <v>0</v>
      </c>
    </row>
    <row r="1609" spans="1:6" ht="12">
      <c r="A1609" s="190">
        <v>540802</v>
      </c>
      <c r="B1609" s="178" t="s">
        <v>2689</v>
      </c>
      <c r="C1609" s="200">
        <v>117070000</v>
      </c>
      <c r="D1609" s="178" t="s">
        <v>2710</v>
      </c>
      <c r="E1609" s="180">
        <v>73975515</v>
      </c>
      <c r="F1609" s="120">
        <v>0</v>
      </c>
    </row>
    <row r="1610" spans="1:6" ht="12">
      <c r="A1610" s="190">
        <v>540802</v>
      </c>
      <c r="B1610" s="178" t="s">
        <v>2689</v>
      </c>
      <c r="C1610" s="200">
        <v>117373000</v>
      </c>
      <c r="D1610" s="178" t="s">
        <v>2711</v>
      </c>
      <c r="E1610" s="180">
        <v>103780610</v>
      </c>
      <c r="F1610" s="120">
        <v>0</v>
      </c>
    </row>
    <row r="1611" spans="1:6" ht="12">
      <c r="A1611" s="190">
        <v>540802</v>
      </c>
      <c r="B1611" s="178" t="s">
        <v>2689</v>
      </c>
      <c r="C1611" s="200">
        <v>117676000</v>
      </c>
      <c r="D1611" s="178" t="s">
        <v>2712</v>
      </c>
      <c r="E1611" s="180">
        <v>110916611</v>
      </c>
      <c r="F1611" s="120">
        <v>0</v>
      </c>
    </row>
    <row r="1612" spans="1:6" ht="12">
      <c r="A1612" s="190">
        <v>540802</v>
      </c>
      <c r="B1612" s="178" t="s">
        <v>2689</v>
      </c>
      <c r="C1612" s="200">
        <v>118181000</v>
      </c>
      <c r="D1612" s="178" t="s">
        <v>2713</v>
      </c>
      <c r="E1612" s="180">
        <v>33062911</v>
      </c>
      <c r="F1612" s="120">
        <v>0</v>
      </c>
    </row>
    <row r="1613" spans="1:6" ht="12">
      <c r="A1613" s="190">
        <v>540802</v>
      </c>
      <c r="B1613" s="178" t="s">
        <v>2689</v>
      </c>
      <c r="C1613" s="200">
        <v>118585000</v>
      </c>
      <c r="D1613" s="178" t="s">
        <v>2714</v>
      </c>
      <c r="E1613" s="180">
        <v>37584539</v>
      </c>
      <c r="F1613" s="120">
        <v>0</v>
      </c>
    </row>
    <row r="1614" spans="1:6" ht="12">
      <c r="A1614" s="190">
        <v>540802</v>
      </c>
      <c r="B1614" s="178" t="s">
        <v>2689</v>
      </c>
      <c r="C1614" s="200">
        <v>118686000</v>
      </c>
      <c r="D1614" s="178" t="s">
        <v>2715</v>
      </c>
      <c r="E1614" s="180">
        <v>49730403</v>
      </c>
      <c r="F1614" s="120">
        <v>0</v>
      </c>
    </row>
    <row r="1615" spans="1:6" ht="12">
      <c r="A1615" s="190">
        <v>540802</v>
      </c>
      <c r="B1615" s="178" t="s">
        <v>2689</v>
      </c>
      <c r="C1615" s="200">
        <v>118888000</v>
      </c>
      <c r="D1615" s="178" t="s">
        <v>2716</v>
      </c>
      <c r="E1615" s="180">
        <v>8140708</v>
      </c>
      <c r="F1615" s="120">
        <v>0</v>
      </c>
    </row>
    <row r="1616" spans="1:6" ht="12">
      <c r="A1616" s="190">
        <v>540802</v>
      </c>
      <c r="B1616" s="178" t="s">
        <v>2689</v>
      </c>
      <c r="C1616" s="200">
        <v>119191000</v>
      </c>
      <c r="D1616" s="178" t="s">
        <v>2717</v>
      </c>
      <c r="E1616" s="180">
        <v>15759513</v>
      </c>
      <c r="F1616" s="120">
        <v>0</v>
      </c>
    </row>
    <row r="1617" spans="1:6" ht="12">
      <c r="A1617" s="190">
        <v>540802</v>
      </c>
      <c r="B1617" s="178" t="s">
        <v>2689</v>
      </c>
      <c r="C1617" s="200">
        <v>119494000</v>
      </c>
      <c r="D1617" s="178" t="s">
        <v>2718</v>
      </c>
      <c r="E1617" s="180">
        <v>8423534</v>
      </c>
      <c r="F1617" s="120">
        <v>0</v>
      </c>
    </row>
    <row r="1618" spans="1:6" ht="12">
      <c r="A1618" s="190">
        <v>540802</v>
      </c>
      <c r="B1618" s="178" t="s">
        <v>2689</v>
      </c>
      <c r="C1618" s="200">
        <v>119595000</v>
      </c>
      <c r="D1618" s="178" t="s">
        <v>2719</v>
      </c>
      <c r="E1618" s="180">
        <v>18346601</v>
      </c>
      <c r="F1618" s="120">
        <v>0</v>
      </c>
    </row>
    <row r="1619" spans="1:6" ht="12">
      <c r="A1619" s="190">
        <v>540802</v>
      </c>
      <c r="B1619" s="178" t="s">
        <v>2689</v>
      </c>
      <c r="C1619" s="200">
        <v>119797000</v>
      </c>
      <c r="D1619" s="178" t="s">
        <v>2720</v>
      </c>
      <c r="E1619" s="180">
        <v>8110666</v>
      </c>
      <c r="F1619" s="120">
        <v>0</v>
      </c>
    </row>
    <row r="1620" spans="1:6" ht="12">
      <c r="A1620" s="190">
        <v>540802</v>
      </c>
      <c r="B1620" s="178" t="s">
        <v>2689</v>
      </c>
      <c r="C1620" s="200">
        <v>119999000</v>
      </c>
      <c r="D1620" s="178" t="s">
        <v>2721</v>
      </c>
      <c r="E1620" s="180">
        <v>13669501</v>
      </c>
      <c r="F1620" s="120">
        <v>0</v>
      </c>
    </row>
    <row r="1621" spans="1:6" ht="24">
      <c r="A1621" s="190">
        <v>540806</v>
      </c>
      <c r="B1621" s="176" t="s">
        <v>2722</v>
      </c>
      <c r="C1621" s="200" t="s">
        <v>1026</v>
      </c>
      <c r="D1621" s="182" t="s">
        <v>1027</v>
      </c>
      <c r="E1621" s="180">
        <v>162001878</v>
      </c>
      <c r="F1621" s="120">
        <v>0</v>
      </c>
    </row>
    <row r="1622" spans="1:6" ht="24">
      <c r="A1622" s="190">
        <v>540806</v>
      </c>
      <c r="B1622" s="176" t="s">
        <v>2722</v>
      </c>
      <c r="C1622" s="200" t="s">
        <v>1028</v>
      </c>
      <c r="D1622" s="182" t="s">
        <v>1029</v>
      </c>
      <c r="E1622" s="180">
        <v>27145114</v>
      </c>
      <c r="F1622" s="120">
        <v>0</v>
      </c>
    </row>
    <row r="1623" spans="1:6" ht="24">
      <c r="A1623" s="190">
        <v>540806</v>
      </c>
      <c r="B1623" s="176" t="s">
        <v>2722</v>
      </c>
      <c r="C1623" s="200" t="s">
        <v>1030</v>
      </c>
      <c r="D1623" s="182" t="s">
        <v>1031</v>
      </c>
      <c r="E1623" s="180">
        <v>8364733</v>
      </c>
      <c r="F1623" s="120">
        <v>0</v>
      </c>
    </row>
    <row r="1624" spans="1:6" ht="24">
      <c r="A1624" s="190">
        <v>540806</v>
      </c>
      <c r="B1624" s="176" t="s">
        <v>2722</v>
      </c>
      <c r="C1624" s="200">
        <v>216005360</v>
      </c>
      <c r="D1624" s="171" t="s">
        <v>1032</v>
      </c>
      <c r="E1624" s="180">
        <v>16769270</v>
      </c>
      <c r="F1624" s="120">
        <v>0</v>
      </c>
    </row>
    <row r="1625" spans="1:6" ht="24">
      <c r="A1625" s="190">
        <v>540806</v>
      </c>
      <c r="B1625" s="176" t="s">
        <v>2722</v>
      </c>
      <c r="C1625" s="200" t="s">
        <v>1033</v>
      </c>
      <c r="D1625" s="182" t="s">
        <v>1034</v>
      </c>
      <c r="E1625" s="180">
        <v>17910159</v>
      </c>
      <c r="F1625" s="120">
        <v>0</v>
      </c>
    </row>
    <row r="1626" spans="1:6" ht="24">
      <c r="A1626" s="190">
        <v>540806</v>
      </c>
      <c r="B1626" s="176" t="s">
        <v>2722</v>
      </c>
      <c r="C1626" s="200" t="s">
        <v>1035</v>
      </c>
      <c r="D1626" s="182" t="s">
        <v>1036</v>
      </c>
      <c r="E1626" s="180">
        <v>21818866</v>
      </c>
      <c r="F1626" s="120">
        <v>0</v>
      </c>
    </row>
    <row r="1627" spans="1:6" ht="24">
      <c r="A1627" s="190">
        <v>540806</v>
      </c>
      <c r="B1627" s="176" t="s">
        <v>2722</v>
      </c>
      <c r="C1627" s="200" t="s">
        <v>1037</v>
      </c>
      <c r="D1627" s="182" t="s">
        <v>1038</v>
      </c>
      <c r="E1627" s="180">
        <v>13741600</v>
      </c>
      <c r="F1627" s="120">
        <v>0</v>
      </c>
    </row>
    <row r="1628" spans="1:6" ht="24">
      <c r="A1628" s="190">
        <v>540806</v>
      </c>
      <c r="B1628" s="176" t="s">
        <v>2722</v>
      </c>
      <c r="C1628" s="200" t="s">
        <v>1039</v>
      </c>
      <c r="D1628" s="171" t="s">
        <v>1040</v>
      </c>
      <c r="E1628" s="180">
        <v>18915531</v>
      </c>
      <c r="F1628" s="120">
        <v>0</v>
      </c>
    </row>
    <row r="1629" spans="1:6" ht="24">
      <c r="A1629" s="190">
        <v>540806</v>
      </c>
      <c r="B1629" s="176" t="s">
        <v>2722</v>
      </c>
      <c r="C1629" s="200" t="s">
        <v>1041</v>
      </c>
      <c r="D1629" s="182" t="s">
        <v>1042</v>
      </c>
      <c r="E1629" s="180">
        <v>12724597</v>
      </c>
      <c r="F1629" s="120">
        <v>0</v>
      </c>
    </row>
    <row r="1630" spans="1:6" ht="24">
      <c r="A1630" s="190">
        <v>540806</v>
      </c>
      <c r="B1630" s="176" t="s">
        <v>2722</v>
      </c>
      <c r="C1630" s="200">
        <v>215915759</v>
      </c>
      <c r="D1630" s="182" t="s">
        <v>1043</v>
      </c>
      <c r="E1630" s="180">
        <v>12632674</v>
      </c>
      <c r="F1630" s="120">
        <v>0</v>
      </c>
    </row>
    <row r="1631" spans="1:6" ht="24">
      <c r="A1631" s="190">
        <v>540806</v>
      </c>
      <c r="B1631" s="176" t="s">
        <v>2722</v>
      </c>
      <c r="C1631" s="200" t="s">
        <v>1044</v>
      </c>
      <c r="D1631" s="171" t="s">
        <v>1045</v>
      </c>
      <c r="E1631" s="180">
        <v>38607390</v>
      </c>
      <c r="F1631" s="120">
        <v>0</v>
      </c>
    </row>
    <row r="1632" spans="1:6" ht="24">
      <c r="A1632" s="190">
        <v>540806</v>
      </c>
      <c r="B1632" s="176" t="s">
        <v>2722</v>
      </c>
      <c r="C1632" s="200" t="s">
        <v>1046</v>
      </c>
      <c r="D1632" s="171" t="s">
        <v>1047</v>
      </c>
      <c r="E1632" s="180">
        <v>19557673</v>
      </c>
      <c r="F1632" s="120">
        <v>0</v>
      </c>
    </row>
    <row r="1633" spans="1:6" ht="24">
      <c r="A1633" s="190">
        <v>540806</v>
      </c>
      <c r="B1633" s="176" t="s">
        <v>2722</v>
      </c>
      <c r="C1633" s="200" t="s">
        <v>1048</v>
      </c>
      <c r="D1633" s="182" t="s">
        <v>1049</v>
      </c>
      <c r="E1633" s="180">
        <v>26390133</v>
      </c>
      <c r="F1633" s="120">
        <v>0</v>
      </c>
    </row>
    <row r="1634" spans="1:6" ht="24">
      <c r="A1634" s="190">
        <v>540806</v>
      </c>
      <c r="B1634" s="176" t="s">
        <v>2722</v>
      </c>
      <c r="C1634" s="200" t="s">
        <v>1050</v>
      </c>
      <c r="D1634" s="182" t="s">
        <v>1051</v>
      </c>
      <c r="E1634" s="180">
        <v>33376349</v>
      </c>
      <c r="F1634" s="120">
        <v>0</v>
      </c>
    </row>
    <row r="1635" spans="1:6" ht="24">
      <c r="A1635" s="190">
        <v>540806</v>
      </c>
      <c r="B1635" s="176" t="s">
        <v>2722</v>
      </c>
      <c r="C1635" s="200">
        <v>210123001</v>
      </c>
      <c r="D1635" s="171" t="s">
        <v>1052</v>
      </c>
      <c r="E1635" s="180">
        <v>40219177</v>
      </c>
      <c r="F1635" s="120">
        <v>0</v>
      </c>
    </row>
    <row r="1636" spans="1:6" ht="24">
      <c r="A1636" s="190">
        <v>540806</v>
      </c>
      <c r="B1636" s="176" t="s">
        <v>2722</v>
      </c>
      <c r="C1636" s="174" t="s">
        <v>1053</v>
      </c>
      <c r="D1636" s="182" t="s">
        <v>1054</v>
      </c>
      <c r="E1636" s="180">
        <v>13453121</v>
      </c>
      <c r="F1636" s="120">
        <v>0</v>
      </c>
    </row>
    <row r="1637" spans="1:6" ht="24">
      <c r="A1637" s="190">
        <v>540806</v>
      </c>
      <c r="B1637" s="176" t="s">
        <v>2722</v>
      </c>
      <c r="C1637" s="174" t="s">
        <v>1055</v>
      </c>
      <c r="D1637" s="182" t="s">
        <v>1056</v>
      </c>
      <c r="E1637" s="180">
        <v>11464474</v>
      </c>
      <c r="F1637" s="120">
        <v>0</v>
      </c>
    </row>
    <row r="1638" spans="1:6" ht="24">
      <c r="A1638" s="190">
        <v>540806</v>
      </c>
      <c r="B1638" s="176" t="s">
        <v>2722</v>
      </c>
      <c r="C1638" s="200" t="s">
        <v>1057</v>
      </c>
      <c r="D1638" s="182" t="s">
        <v>1058</v>
      </c>
      <c r="E1638" s="180">
        <v>9418839</v>
      </c>
      <c r="F1638" s="120">
        <v>0</v>
      </c>
    </row>
    <row r="1639" spans="1:6" ht="24">
      <c r="A1639" s="190">
        <v>540806</v>
      </c>
      <c r="B1639" s="176" t="s">
        <v>2722</v>
      </c>
      <c r="C1639" s="200" t="s">
        <v>1059</v>
      </c>
      <c r="D1639" s="182" t="s">
        <v>1060</v>
      </c>
      <c r="E1639" s="180">
        <v>7264993</v>
      </c>
      <c r="F1639" s="120">
        <v>0</v>
      </c>
    </row>
    <row r="1640" spans="1:6" ht="24">
      <c r="A1640" s="190">
        <v>540806</v>
      </c>
      <c r="B1640" s="176" t="s">
        <v>2722</v>
      </c>
      <c r="C1640" s="174" t="s">
        <v>1061</v>
      </c>
      <c r="D1640" s="182" t="s">
        <v>1062</v>
      </c>
      <c r="E1640" s="180">
        <v>29423384</v>
      </c>
      <c r="F1640" s="120">
        <v>0</v>
      </c>
    </row>
    <row r="1641" spans="1:6" ht="24">
      <c r="A1641" s="190">
        <v>540806</v>
      </c>
      <c r="B1641" s="176" t="s">
        <v>2722</v>
      </c>
      <c r="C1641" s="174" t="s">
        <v>1063</v>
      </c>
      <c r="D1641" s="182" t="s">
        <v>1064</v>
      </c>
      <c r="E1641" s="180">
        <v>36608477</v>
      </c>
      <c r="F1641" s="120">
        <v>0</v>
      </c>
    </row>
    <row r="1642" spans="1:6" ht="24">
      <c r="A1642" s="190">
        <v>540806</v>
      </c>
      <c r="B1642" s="176" t="s">
        <v>2722</v>
      </c>
      <c r="C1642" s="174" t="s">
        <v>1065</v>
      </c>
      <c r="D1642" s="182" t="s">
        <v>1066</v>
      </c>
      <c r="E1642" s="180">
        <v>14852114</v>
      </c>
      <c r="F1642" s="120">
        <v>0</v>
      </c>
    </row>
    <row r="1643" spans="1:6" ht="24">
      <c r="A1643" s="190">
        <v>540806</v>
      </c>
      <c r="B1643" s="176" t="s">
        <v>2722</v>
      </c>
      <c r="C1643" s="174" t="s">
        <v>1067</v>
      </c>
      <c r="D1643" s="182" t="s">
        <v>1068</v>
      </c>
      <c r="E1643" s="180">
        <v>13142129</v>
      </c>
      <c r="F1643" s="120">
        <v>0</v>
      </c>
    </row>
    <row r="1644" spans="1:6" ht="24">
      <c r="A1644" s="190">
        <v>540806</v>
      </c>
      <c r="B1644" s="176" t="s">
        <v>2722</v>
      </c>
      <c r="C1644" s="200">
        <v>210150001</v>
      </c>
      <c r="D1644" s="171" t="s">
        <v>1069</v>
      </c>
      <c r="E1644" s="180">
        <v>38719777</v>
      </c>
      <c r="F1644" s="120">
        <v>0</v>
      </c>
    </row>
    <row r="1645" spans="1:6" ht="24">
      <c r="A1645" s="190">
        <v>540806</v>
      </c>
      <c r="B1645" s="176" t="s">
        <v>2722</v>
      </c>
      <c r="C1645" s="200" t="s">
        <v>1070</v>
      </c>
      <c r="D1645" s="182" t="s">
        <v>1071</v>
      </c>
      <c r="E1645" s="180">
        <v>43246164</v>
      </c>
      <c r="F1645" s="120">
        <v>0</v>
      </c>
    </row>
    <row r="1646" spans="1:6" ht="24">
      <c r="A1646" s="190">
        <v>540806</v>
      </c>
      <c r="B1646" s="176" t="s">
        <v>2722</v>
      </c>
      <c r="C1646" s="200">
        <v>213552835</v>
      </c>
      <c r="D1646" s="182" t="s">
        <v>1072</v>
      </c>
      <c r="E1646" s="180">
        <v>22938346</v>
      </c>
      <c r="F1646" s="120">
        <v>0</v>
      </c>
    </row>
    <row r="1647" spans="1:6" ht="24">
      <c r="A1647" s="190">
        <v>540806</v>
      </c>
      <c r="B1647" s="176" t="s">
        <v>2722</v>
      </c>
      <c r="C1647" s="200">
        <v>210154001</v>
      </c>
      <c r="D1647" s="171" t="s">
        <v>1073</v>
      </c>
      <c r="E1647" s="180">
        <v>59218220</v>
      </c>
      <c r="F1647" s="120">
        <v>0</v>
      </c>
    </row>
    <row r="1648" spans="1:6" ht="24">
      <c r="A1648" s="190">
        <v>540806</v>
      </c>
      <c r="B1648" s="176" t="s">
        <v>2722</v>
      </c>
      <c r="C1648" s="200">
        <v>210163001</v>
      </c>
      <c r="D1648" s="171" t="s">
        <v>1074</v>
      </c>
      <c r="E1648" s="180">
        <v>25226692</v>
      </c>
      <c r="F1648" s="120">
        <v>0</v>
      </c>
    </row>
    <row r="1649" spans="1:6" ht="24">
      <c r="A1649" s="190">
        <v>540806</v>
      </c>
      <c r="B1649" s="176" t="s">
        <v>2722</v>
      </c>
      <c r="C1649" s="200">
        <v>210166001</v>
      </c>
      <c r="D1649" s="171" t="s">
        <v>1075</v>
      </c>
      <c r="E1649" s="180">
        <v>39561977</v>
      </c>
      <c r="F1649" s="120">
        <v>0</v>
      </c>
    </row>
    <row r="1650" spans="1:6" ht="24">
      <c r="A1650" s="190">
        <v>540806</v>
      </c>
      <c r="B1650" s="176" t="s">
        <v>2722</v>
      </c>
      <c r="C1650" s="200">
        <v>217066170</v>
      </c>
      <c r="D1650" s="171" t="s">
        <v>1076</v>
      </c>
      <c r="E1650" s="180">
        <v>14487908</v>
      </c>
      <c r="F1650" s="120">
        <v>0</v>
      </c>
    </row>
    <row r="1651" spans="1:6" ht="24">
      <c r="A1651" s="190">
        <v>540806</v>
      </c>
      <c r="B1651" s="176" t="s">
        <v>2722</v>
      </c>
      <c r="C1651" s="174" t="s">
        <v>1077</v>
      </c>
      <c r="D1651" s="171" t="s">
        <v>1078</v>
      </c>
      <c r="E1651" s="180">
        <v>48904990</v>
      </c>
      <c r="F1651" s="120">
        <v>0</v>
      </c>
    </row>
    <row r="1652" spans="1:6" ht="24">
      <c r="A1652" s="190">
        <v>540806</v>
      </c>
      <c r="B1652" s="176" t="s">
        <v>2722</v>
      </c>
      <c r="C1652" s="174" t="s">
        <v>1079</v>
      </c>
      <c r="D1652" s="182" t="s">
        <v>1080</v>
      </c>
      <c r="E1652" s="180">
        <v>18345899</v>
      </c>
      <c r="F1652" s="120">
        <v>0</v>
      </c>
    </row>
    <row r="1653" spans="1:6" ht="24">
      <c r="A1653" s="190">
        <v>540806</v>
      </c>
      <c r="B1653" s="176" t="s">
        <v>2722</v>
      </c>
      <c r="C1653" s="174" t="s">
        <v>1081</v>
      </c>
      <c r="D1653" s="182" t="s">
        <v>1082</v>
      </c>
      <c r="E1653" s="180">
        <v>19235281</v>
      </c>
      <c r="F1653" s="120">
        <v>0</v>
      </c>
    </row>
    <row r="1654" spans="1:6" ht="24">
      <c r="A1654" s="190">
        <v>540806</v>
      </c>
      <c r="B1654" s="176" t="s">
        <v>2722</v>
      </c>
      <c r="C1654" s="174" t="s">
        <v>1083</v>
      </c>
      <c r="D1654" s="182" t="s">
        <v>1084</v>
      </c>
      <c r="E1654" s="180">
        <v>10731514</v>
      </c>
      <c r="F1654" s="120">
        <v>0</v>
      </c>
    </row>
    <row r="1655" spans="1:6" ht="24">
      <c r="A1655" s="190">
        <v>540806</v>
      </c>
      <c r="B1655" s="176" t="s">
        <v>2722</v>
      </c>
      <c r="C1655" s="200">
        <v>210170001</v>
      </c>
      <c r="D1655" s="171" t="s">
        <v>1085</v>
      </c>
      <c r="E1655" s="180">
        <v>25585842</v>
      </c>
      <c r="F1655" s="120">
        <v>0</v>
      </c>
    </row>
    <row r="1656" spans="1:6" ht="24">
      <c r="A1656" s="190">
        <v>540806</v>
      </c>
      <c r="B1656" s="176" t="s">
        <v>2722</v>
      </c>
      <c r="C1656" s="200">
        <v>210173001</v>
      </c>
      <c r="D1656" s="171" t="s">
        <v>1086</v>
      </c>
      <c r="E1656" s="180">
        <v>41242387</v>
      </c>
      <c r="F1656" s="120">
        <v>0</v>
      </c>
    </row>
    <row r="1657" spans="1:6" ht="24">
      <c r="A1657" s="190">
        <v>540806</v>
      </c>
      <c r="B1657" s="176" t="s">
        <v>2722</v>
      </c>
      <c r="C1657" s="200">
        <v>210176001</v>
      </c>
      <c r="D1657" s="171" t="s">
        <v>1087</v>
      </c>
      <c r="E1657" s="180">
        <v>114871917</v>
      </c>
      <c r="F1657" s="120">
        <v>0</v>
      </c>
    </row>
    <row r="1658" spans="1:6" ht="24">
      <c r="A1658" s="190">
        <v>540806</v>
      </c>
      <c r="B1658" s="176" t="s">
        <v>2722</v>
      </c>
      <c r="C1658" s="200">
        <v>210976109</v>
      </c>
      <c r="D1658" s="182" t="s">
        <v>1088</v>
      </c>
      <c r="E1658" s="180">
        <v>39735203</v>
      </c>
      <c r="F1658" s="120">
        <v>0</v>
      </c>
    </row>
    <row r="1659" spans="1:6" ht="24">
      <c r="A1659" s="190">
        <v>540806</v>
      </c>
      <c r="B1659" s="176" t="s">
        <v>2722</v>
      </c>
      <c r="C1659" s="200">
        <v>211176111</v>
      </c>
      <c r="D1659" s="182" t="s">
        <v>1089</v>
      </c>
      <c r="E1659" s="180">
        <v>9557146</v>
      </c>
      <c r="F1659" s="120">
        <v>0</v>
      </c>
    </row>
    <row r="1660" spans="1:6" ht="24">
      <c r="A1660" s="190">
        <v>540806</v>
      </c>
      <c r="B1660" s="176" t="s">
        <v>2722</v>
      </c>
      <c r="C1660" s="200">
        <v>214776147</v>
      </c>
      <c r="D1660" s="182" t="s">
        <v>1090</v>
      </c>
      <c r="E1660" s="180">
        <v>10673354</v>
      </c>
      <c r="F1660" s="120">
        <v>0</v>
      </c>
    </row>
    <row r="1661" spans="1:6" ht="24">
      <c r="A1661" s="190">
        <v>540806</v>
      </c>
      <c r="B1661" s="176" t="s">
        <v>2722</v>
      </c>
      <c r="C1661" s="200">
        <v>212076520</v>
      </c>
      <c r="D1661" s="182" t="s">
        <v>1091</v>
      </c>
      <c r="E1661" s="180">
        <v>21850209</v>
      </c>
      <c r="F1661" s="120">
        <v>0</v>
      </c>
    </row>
    <row r="1662" spans="1:6" ht="24">
      <c r="A1662" s="190">
        <v>540806</v>
      </c>
      <c r="B1662" s="176" t="s">
        <v>2722</v>
      </c>
      <c r="C1662" s="200">
        <v>213476834</v>
      </c>
      <c r="D1662" s="182" t="s">
        <v>1092</v>
      </c>
      <c r="E1662" s="180">
        <v>14674928</v>
      </c>
      <c r="F1662" s="120">
        <v>0</v>
      </c>
    </row>
    <row r="1663" spans="1:6" ht="24">
      <c r="A1663" s="190">
        <v>540806</v>
      </c>
      <c r="B1663" s="176" t="s">
        <v>2722</v>
      </c>
      <c r="C1663" s="200" t="s">
        <v>650</v>
      </c>
      <c r="D1663" s="178" t="s">
        <v>1093</v>
      </c>
      <c r="E1663" s="180">
        <v>109150</v>
      </c>
      <c r="F1663" s="192">
        <v>0</v>
      </c>
    </row>
    <row r="1664" spans="1:6" ht="24">
      <c r="A1664" s="190">
        <v>540806</v>
      </c>
      <c r="B1664" s="176" t="s">
        <v>2722</v>
      </c>
      <c r="C1664" s="200" t="s">
        <v>1094</v>
      </c>
      <c r="D1664" s="178" t="s">
        <v>1095</v>
      </c>
      <c r="E1664" s="180">
        <v>15320</v>
      </c>
      <c r="F1664" s="192">
        <v>0</v>
      </c>
    </row>
    <row r="1665" spans="1:6" ht="24">
      <c r="A1665" s="190">
        <v>540806</v>
      </c>
      <c r="B1665" s="176" t="s">
        <v>2722</v>
      </c>
      <c r="C1665" s="200" t="s">
        <v>1096</v>
      </c>
      <c r="D1665" s="178" t="s">
        <v>1097</v>
      </c>
      <c r="E1665" s="180">
        <v>26052</v>
      </c>
      <c r="F1665" s="192">
        <v>0</v>
      </c>
    </row>
    <row r="1666" spans="1:6" ht="24">
      <c r="A1666" s="190">
        <v>540806</v>
      </c>
      <c r="B1666" s="176" t="s">
        <v>2722</v>
      </c>
      <c r="C1666" s="200" t="s">
        <v>1098</v>
      </c>
      <c r="D1666" s="178" t="s">
        <v>1099</v>
      </c>
      <c r="E1666" s="180">
        <v>179323</v>
      </c>
      <c r="F1666" s="192">
        <v>0</v>
      </c>
    </row>
    <row r="1667" spans="1:6" ht="24">
      <c r="A1667" s="190">
        <v>540806</v>
      </c>
      <c r="B1667" s="176" t="s">
        <v>2722</v>
      </c>
      <c r="C1667" s="200" t="s">
        <v>743</v>
      </c>
      <c r="D1667" s="178" t="s">
        <v>1100</v>
      </c>
      <c r="E1667" s="180">
        <v>146458</v>
      </c>
      <c r="F1667" s="192">
        <v>0</v>
      </c>
    </row>
    <row r="1668" spans="1:6" ht="24">
      <c r="A1668" s="190">
        <v>540806</v>
      </c>
      <c r="B1668" s="176" t="s">
        <v>2722</v>
      </c>
      <c r="C1668" s="200" t="s">
        <v>1101</v>
      </c>
      <c r="D1668" s="178" t="s">
        <v>1102</v>
      </c>
      <c r="E1668" s="180">
        <v>267038</v>
      </c>
      <c r="F1668" s="192">
        <v>0</v>
      </c>
    </row>
    <row r="1669" spans="1:6" ht="24">
      <c r="A1669" s="190">
        <v>540806</v>
      </c>
      <c r="B1669" s="176" t="s">
        <v>2722</v>
      </c>
      <c r="C1669" s="200" t="s">
        <v>759</v>
      </c>
      <c r="D1669" s="178" t="s">
        <v>1103</v>
      </c>
      <c r="E1669" s="180">
        <v>38724</v>
      </c>
      <c r="F1669" s="192">
        <v>0</v>
      </c>
    </row>
    <row r="1670" spans="1:6" ht="24">
      <c r="A1670" s="190">
        <v>540806</v>
      </c>
      <c r="B1670" s="176" t="s">
        <v>2722</v>
      </c>
      <c r="C1670" s="200" t="s">
        <v>1104</v>
      </c>
      <c r="D1670" s="178" t="s">
        <v>1105</v>
      </c>
      <c r="E1670" s="180">
        <v>78966</v>
      </c>
      <c r="F1670" s="192">
        <v>0</v>
      </c>
    </row>
    <row r="1671" spans="1:6" ht="24">
      <c r="A1671" s="190">
        <v>540806</v>
      </c>
      <c r="B1671" s="176" t="s">
        <v>2722</v>
      </c>
      <c r="C1671" s="200" t="s">
        <v>767</v>
      </c>
      <c r="D1671" s="178" t="s">
        <v>1106</v>
      </c>
      <c r="E1671" s="180">
        <v>99802</v>
      </c>
      <c r="F1671" s="192">
        <v>0</v>
      </c>
    </row>
    <row r="1672" spans="1:6" ht="24">
      <c r="A1672" s="190">
        <v>540806</v>
      </c>
      <c r="B1672" s="176" t="s">
        <v>2722</v>
      </c>
      <c r="C1672" s="200" t="s">
        <v>1107</v>
      </c>
      <c r="D1672" s="178" t="s">
        <v>992</v>
      </c>
      <c r="E1672" s="180">
        <v>157904</v>
      </c>
      <c r="F1672" s="192">
        <v>0</v>
      </c>
    </row>
    <row r="1673" spans="1:6" ht="24">
      <c r="A1673" s="190">
        <v>540806</v>
      </c>
      <c r="B1673" s="176" t="s">
        <v>2722</v>
      </c>
      <c r="C1673" s="200" t="s">
        <v>1108</v>
      </c>
      <c r="D1673" s="178" t="s">
        <v>1109</v>
      </c>
      <c r="E1673" s="180">
        <v>49544</v>
      </c>
      <c r="F1673" s="192">
        <v>0</v>
      </c>
    </row>
    <row r="1674" spans="1:6" ht="24">
      <c r="A1674" s="190">
        <v>540806</v>
      </c>
      <c r="B1674" s="176" t="s">
        <v>2722</v>
      </c>
      <c r="C1674" s="200" t="s">
        <v>1110</v>
      </c>
      <c r="D1674" s="178" t="s">
        <v>1111</v>
      </c>
      <c r="E1674" s="180">
        <v>613048</v>
      </c>
      <c r="F1674" s="192">
        <v>0</v>
      </c>
    </row>
    <row r="1675" spans="1:6" ht="24">
      <c r="A1675" s="190">
        <v>540806</v>
      </c>
      <c r="B1675" s="176" t="s">
        <v>2722</v>
      </c>
      <c r="C1675" s="200">
        <v>215105051</v>
      </c>
      <c r="D1675" s="178" t="s">
        <v>1112</v>
      </c>
      <c r="E1675" s="180">
        <v>322642</v>
      </c>
      <c r="F1675" s="192">
        <v>0</v>
      </c>
    </row>
    <row r="1676" spans="1:6" ht="24">
      <c r="A1676" s="190">
        <v>540806</v>
      </c>
      <c r="B1676" s="176" t="s">
        <v>2722</v>
      </c>
      <c r="C1676" s="200" t="s">
        <v>1113</v>
      </c>
      <c r="D1676" s="178" t="s">
        <v>1114</v>
      </c>
      <c r="E1676" s="180">
        <v>77010</v>
      </c>
      <c r="F1676" s="192">
        <v>0</v>
      </c>
    </row>
    <row r="1677" spans="1:6" ht="24">
      <c r="A1677" s="190">
        <v>540806</v>
      </c>
      <c r="B1677" s="176" t="s">
        <v>2722</v>
      </c>
      <c r="C1677" s="200" t="s">
        <v>1115</v>
      </c>
      <c r="D1677" s="178" t="s">
        <v>1074</v>
      </c>
      <c r="E1677" s="180">
        <v>38119</v>
      </c>
      <c r="F1677" s="192">
        <v>0</v>
      </c>
    </row>
    <row r="1678" spans="1:6" ht="24">
      <c r="A1678" s="190">
        <v>540806</v>
      </c>
      <c r="B1678" s="176" t="s">
        <v>2722</v>
      </c>
      <c r="C1678" s="200" t="s">
        <v>1116</v>
      </c>
      <c r="D1678" s="178" t="s">
        <v>1117</v>
      </c>
      <c r="E1678" s="180">
        <v>262887</v>
      </c>
      <c r="F1678" s="192">
        <v>0</v>
      </c>
    </row>
    <row r="1679" spans="1:6" ht="24">
      <c r="A1679" s="190">
        <v>540806</v>
      </c>
      <c r="B1679" s="176" t="s">
        <v>2722</v>
      </c>
      <c r="C1679" s="200" t="s">
        <v>1118</v>
      </c>
      <c r="D1679" s="178" t="s">
        <v>1119</v>
      </c>
      <c r="E1679" s="180">
        <v>44143</v>
      </c>
      <c r="F1679" s="192">
        <v>0</v>
      </c>
    </row>
    <row r="1680" spans="1:6" ht="24">
      <c r="A1680" s="190">
        <v>540806</v>
      </c>
      <c r="B1680" s="176" t="s">
        <v>2722</v>
      </c>
      <c r="C1680" s="200" t="s">
        <v>1120</v>
      </c>
      <c r="D1680" s="178" t="s">
        <v>1121</v>
      </c>
      <c r="E1680" s="180">
        <v>59918</v>
      </c>
      <c r="F1680" s="192">
        <v>0</v>
      </c>
    </row>
    <row r="1681" spans="1:6" ht="24">
      <c r="A1681" s="190">
        <v>540806</v>
      </c>
      <c r="B1681" s="176" t="s">
        <v>2722</v>
      </c>
      <c r="C1681" s="200" t="s">
        <v>1122</v>
      </c>
      <c r="D1681" s="178" t="s">
        <v>1123</v>
      </c>
      <c r="E1681" s="180">
        <v>104540</v>
      </c>
      <c r="F1681" s="192">
        <v>0</v>
      </c>
    </row>
    <row r="1682" spans="1:6" ht="24">
      <c r="A1682" s="190">
        <v>540806</v>
      </c>
      <c r="B1682" s="176" t="s">
        <v>2722</v>
      </c>
      <c r="C1682" s="200" t="s">
        <v>1124</v>
      </c>
      <c r="D1682" s="178" t="s">
        <v>994</v>
      </c>
      <c r="E1682" s="180">
        <v>167249</v>
      </c>
      <c r="F1682" s="192">
        <v>0</v>
      </c>
    </row>
    <row r="1683" spans="1:6" ht="24">
      <c r="A1683" s="190">
        <v>540806</v>
      </c>
      <c r="B1683" s="176" t="s">
        <v>2722</v>
      </c>
      <c r="C1683" s="200" t="s">
        <v>1125</v>
      </c>
      <c r="D1683" s="178" t="s">
        <v>1126</v>
      </c>
      <c r="E1683" s="180">
        <v>63276</v>
      </c>
      <c r="F1683" s="192">
        <v>0</v>
      </c>
    </row>
    <row r="1684" spans="1:6" ht="24">
      <c r="A1684" s="190">
        <v>540806</v>
      </c>
      <c r="B1684" s="176" t="s">
        <v>2722</v>
      </c>
      <c r="C1684" s="200" t="s">
        <v>1127</v>
      </c>
      <c r="D1684" s="178" t="s">
        <v>1128</v>
      </c>
      <c r="E1684" s="180">
        <v>48915</v>
      </c>
      <c r="F1684" s="192">
        <v>0</v>
      </c>
    </row>
    <row r="1685" spans="1:6" ht="24">
      <c r="A1685" s="190">
        <v>540806</v>
      </c>
      <c r="B1685" s="176" t="s">
        <v>2722</v>
      </c>
      <c r="C1685" s="200" t="s">
        <v>1129</v>
      </c>
      <c r="D1685" s="178" t="s">
        <v>1130</v>
      </c>
      <c r="E1685" s="180">
        <v>228245</v>
      </c>
      <c r="F1685" s="192">
        <v>0</v>
      </c>
    </row>
    <row r="1686" spans="1:6" ht="24">
      <c r="A1686" s="190">
        <v>540806</v>
      </c>
      <c r="B1686" s="176" t="s">
        <v>2722</v>
      </c>
      <c r="C1686" s="200" t="s">
        <v>1131</v>
      </c>
      <c r="D1686" s="178" t="s">
        <v>1132</v>
      </c>
      <c r="E1686" s="180">
        <v>61666</v>
      </c>
      <c r="F1686" s="192">
        <v>0</v>
      </c>
    </row>
    <row r="1687" spans="1:6" ht="24">
      <c r="A1687" s="190">
        <v>540806</v>
      </c>
      <c r="B1687" s="176" t="s">
        <v>2722</v>
      </c>
      <c r="C1687" s="200" t="s">
        <v>1133</v>
      </c>
      <c r="D1687" s="178" t="s">
        <v>996</v>
      </c>
      <c r="E1687" s="180">
        <v>337645</v>
      </c>
      <c r="F1687" s="192">
        <v>0</v>
      </c>
    </row>
    <row r="1688" spans="1:6" ht="24">
      <c r="A1688" s="190">
        <v>540806</v>
      </c>
      <c r="B1688" s="176" t="s">
        <v>2722</v>
      </c>
      <c r="C1688" s="200" t="s">
        <v>1134</v>
      </c>
      <c r="D1688" s="178" t="s">
        <v>1135</v>
      </c>
      <c r="E1688" s="180">
        <v>61602</v>
      </c>
      <c r="F1688" s="192">
        <v>0</v>
      </c>
    </row>
    <row r="1689" spans="1:6" ht="24">
      <c r="A1689" s="190">
        <v>540806</v>
      </c>
      <c r="B1689" s="176" t="s">
        <v>2722</v>
      </c>
      <c r="C1689" s="200" t="s">
        <v>1136</v>
      </c>
      <c r="D1689" s="178" t="s">
        <v>1137</v>
      </c>
      <c r="E1689" s="180">
        <v>136046</v>
      </c>
      <c r="F1689" s="192">
        <v>0</v>
      </c>
    </row>
    <row r="1690" spans="1:6" ht="24">
      <c r="A1690" s="190">
        <v>540806</v>
      </c>
      <c r="B1690" s="176" t="s">
        <v>2722</v>
      </c>
      <c r="C1690" s="200" t="s">
        <v>1138</v>
      </c>
      <c r="D1690" s="178" t="s">
        <v>1139</v>
      </c>
      <c r="E1690" s="180">
        <v>36515</v>
      </c>
      <c r="F1690" s="192">
        <v>0</v>
      </c>
    </row>
    <row r="1691" spans="1:6" ht="24">
      <c r="A1691" s="190">
        <v>540806</v>
      </c>
      <c r="B1691" s="176" t="s">
        <v>2722</v>
      </c>
      <c r="C1691" s="200" t="s">
        <v>1140</v>
      </c>
      <c r="D1691" s="178" t="s">
        <v>1141</v>
      </c>
      <c r="E1691" s="180">
        <v>37089</v>
      </c>
      <c r="F1691" s="192">
        <v>0</v>
      </c>
    </row>
    <row r="1692" spans="1:6" ht="24">
      <c r="A1692" s="190">
        <v>540806</v>
      </c>
      <c r="B1692" s="176" t="s">
        <v>2722</v>
      </c>
      <c r="C1692" s="200" t="s">
        <v>1142</v>
      </c>
      <c r="D1692" s="178" t="s">
        <v>1143</v>
      </c>
      <c r="E1692" s="180">
        <v>299605</v>
      </c>
      <c r="F1692" s="192">
        <v>0</v>
      </c>
    </row>
    <row r="1693" spans="1:6" ht="24">
      <c r="A1693" s="190">
        <v>540806</v>
      </c>
      <c r="B1693" s="176" t="s">
        <v>2722</v>
      </c>
      <c r="C1693" s="200" t="s">
        <v>1144</v>
      </c>
      <c r="D1693" s="178" t="s">
        <v>1145</v>
      </c>
      <c r="E1693" s="180">
        <v>265735</v>
      </c>
      <c r="F1693" s="192">
        <v>0</v>
      </c>
    </row>
    <row r="1694" spans="1:6" ht="24">
      <c r="A1694" s="190">
        <v>540806</v>
      </c>
      <c r="B1694" s="176" t="s">
        <v>2722</v>
      </c>
      <c r="C1694" s="200">
        <v>215005150</v>
      </c>
      <c r="D1694" s="178" t="s">
        <v>1146</v>
      </c>
      <c r="E1694" s="180">
        <v>34817</v>
      </c>
      <c r="F1694" s="192">
        <v>0</v>
      </c>
    </row>
    <row r="1695" spans="1:6" ht="24">
      <c r="A1695" s="190">
        <v>540806</v>
      </c>
      <c r="B1695" s="176" t="s">
        <v>2722</v>
      </c>
      <c r="C1695" s="200" t="s">
        <v>816</v>
      </c>
      <c r="D1695" s="178" t="s">
        <v>1147</v>
      </c>
      <c r="E1695" s="180">
        <v>572833</v>
      </c>
      <c r="F1695" s="192">
        <v>0</v>
      </c>
    </row>
    <row r="1696" spans="1:6" ht="24">
      <c r="A1696" s="190">
        <v>540806</v>
      </c>
      <c r="B1696" s="176" t="s">
        <v>2722</v>
      </c>
      <c r="C1696" s="200" t="s">
        <v>1148</v>
      </c>
      <c r="D1696" s="178" t="s">
        <v>1149</v>
      </c>
      <c r="E1696" s="180">
        <v>374909</v>
      </c>
      <c r="F1696" s="192">
        <v>0</v>
      </c>
    </row>
    <row r="1697" spans="1:6" ht="24">
      <c r="A1697" s="190">
        <v>540806</v>
      </c>
      <c r="B1697" s="176" t="s">
        <v>2722</v>
      </c>
      <c r="C1697" s="200" t="s">
        <v>1150</v>
      </c>
      <c r="D1697" s="178" t="s">
        <v>1151</v>
      </c>
      <c r="E1697" s="180">
        <v>71664</v>
      </c>
      <c r="F1697" s="192">
        <v>0</v>
      </c>
    </row>
    <row r="1698" spans="1:6" ht="24">
      <c r="A1698" s="190">
        <v>540806</v>
      </c>
      <c r="B1698" s="176" t="s">
        <v>2722</v>
      </c>
      <c r="C1698" s="200" t="s">
        <v>1152</v>
      </c>
      <c r="D1698" s="178" t="s">
        <v>1153</v>
      </c>
      <c r="E1698" s="180">
        <v>99852</v>
      </c>
      <c r="F1698" s="192">
        <v>0</v>
      </c>
    </row>
    <row r="1699" spans="1:6" ht="24">
      <c r="A1699" s="190">
        <v>540806</v>
      </c>
      <c r="B1699" s="176" t="s">
        <v>2722</v>
      </c>
      <c r="C1699" s="200" t="s">
        <v>1154</v>
      </c>
      <c r="D1699" s="178" t="s">
        <v>1155</v>
      </c>
      <c r="E1699" s="180">
        <v>24919</v>
      </c>
      <c r="F1699" s="192">
        <v>0</v>
      </c>
    </row>
    <row r="1700" spans="1:6" ht="24">
      <c r="A1700" s="190">
        <v>540806</v>
      </c>
      <c r="B1700" s="176" t="s">
        <v>2722</v>
      </c>
      <c r="C1700" s="200" t="s">
        <v>1156</v>
      </c>
      <c r="D1700" s="178" t="s">
        <v>1157</v>
      </c>
      <c r="E1700" s="180">
        <v>116874</v>
      </c>
      <c r="F1700" s="192">
        <v>0</v>
      </c>
    </row>
    <row r="1701" spans="1:6" ht="24">
      <c r="A1701" s="190">
        <v>540806</v>
      </c>
      <c r="B1701" s="176" t="s">
        <v>2722</v>
      </c>
      <c r="C1701" s="200" t="s">
        <v>1158</v>
      </c>
      <c r="D1701" s="178" t="s">
        <v>1159</v>
      </c>
      <c r="E1701" s="180">
        <v>395079</v>
      </c>
      <c r="F1701" s="192">
        <v>0</v>
      </c>
    </row>
    <row r="1702" spans="1:6" ht="24">
      <c r="A1702" s="190">
        <v>540806</v>
      </c>
      <c r="B1702" s="176" t="s">
        <v>2722</v>
      </c>
      <c r="C1702" s="200" t="s">
        <v>1160</v>
      </c>
      <c r="D1702" s="178" t="s">
        <v>1161</v>
      </c>
      <c r="E1702" s="180">
        <v>187812</v>
      </c>
      <c r="F1702" s="192">
        <v>0</v>
      </c>
    </row>
    <row r="1703" spans="1:6" ht="24">
      <c r="A1703" s="190">
        <v>540806</v>
      </c>
      <c r="B1703" s="176" t="s">
        <v>2722</v>
      </c>
      <c r="C1703" s="200" t="s">
        <v>1162</v>
      </c>
      <c r="D1703" s="178" t="s">
        <v>1163</v>
      </c>
      <c r="E1703" s="180">
        <v>110200</v>
      </c>
      <c r="F1703" s="192">
        <v>0</v>
      </c>
    </row>
    <row r="1704" spans="1:6" ht="24">
      <c r="A1704" s="190">
        <v>540806</v>
      </c>
      <c r="B1704" s="176" t="s">
        <v>2722</v>
      </c>
      <c r="C1704" s="200">
        <v>214005240</v>
      </c>
      <c r="D1704" s="178" t="s">
        <v>1164</v>
      </c>
      <c r="E1704" s="180">
        <v>87534</v>
      </c>
      <c r="F1704" s="192">
        <v>0</v>
      </c>
    </row>
    <row r="1705" spans="1:6" ht="24">
      <c r="A1705" s="190">
        <v>540806</v>
      </c>
      <c r="B1705" s="176" t="s">
        <v>2722</v>
      </c>
      <c r="C1705" s="200" t="s">
        <v>1165</v>
      </c>
      <c r="D1705" s="178" t="s">
        <v>1166</v>
      </c>
      <c r="E1705" s="180">
        <v>340915</v>
      </c>
      <c r="F1705" s="192">
        <v>0</v>
      </c>
    </row>
    <row r="1706" spans="1:6" ht="24">
      <c r="A1706" s="190">
        <v>540806</v>
      </c>
      <c r="B1706" s="176" t="s">
        <v>2722</v>
      </c>
      <c r="C1706" s="200" t="s">
        <v>1167</v>
      </c>
      <c r="D1706" s="178" t="s">
        <v>1168</v>
      </c>
      <c r="E1706" s="180">
        <v>55191</v>
      </c>
      <c r="F1706" s="192">
        <v>0</v>
      </c>
    </row>
    <row r="1707" spans="1:6" ht="24">
      <c r="A1707" s="190">
        <v>540806</v>
      </c>
      <c r="B1707" s="176" t="s">
        <v>2722</v>
      </c>
      <c r="C1707" s="200" t="s">
        <v>1169</v>
      </c>
      <c r="D1707" s="178" t="s">
        <v>1170</v>
      </c>
      <c r="E1707" s="180">
        <v>158039</v>
      </c>
      <c r="F1707" s="192">
        <v>0</v>
      </c>
    </row>
    <row r="1708" spans="1:6" ht="24">
      <c r="A1708" s="190">
        <v>540806</v>
      </c>
      <c r="B1708" s="176" t="s">
        <v>2722</v>
      </c>
      <c r="C1708" s="200" t="s">
        <v>1171</v>
      </c>
      <c r="D1708" s="178" t="s">
        <v>1172</v>
      </c>
      <c r="E1708" s="180">
        <v>157511</v>
      </c>
      <c r="F1708" s="192">
        <v>0</v>
      </c>
    </row>
    <row r="1709" spans="1:6" ht="24">
      <c r="A1709" s="190">
        <v>540806</v>
      </c>
      <c r="B1709" s="176" t="s">
        <v>2722</v>
      </c>
      <c r="C1709" s="200" t="s">
        <v>1173</v>
      </c>
      <c r="D1709" s="178" t="s">
        <v>1174</v>
      </c>
      <c r="E1709" s="180">
        <v>29825</v>
      </c>
      <c r="F1709" s="192">
        <v>0</v>
      </c>
    </row>
    <row r="1710" spans="1:6" ht="24">
      <c r="A1710" s="190">
        <v>540806</v>
      </c>
      <c r="B1710" s="176" t="s">
        <v>2722</v>
      </c>
      <c r="C1710" s="200" t="s">
        <v>1175</v>
      </c>
      <c r="D1710" s="178" t="s">
        <v>1176</v>
      </c>
      <c r="E1710" s="180">
        <v>212769</v>
      </c>
      <c r="F1710" s="192">
        <v>0</v>
      </c>
    </row>
    <row r="1711" spans="1:6" ht="24">
      <c r="A1711" s="190">
        <v>540806</v>
      </c>
      <c r="B1711" s="176" t="s">
        <v>2722</v>
      </c>
      <c r="C1711" s="200">
        <v>211005310</v>
      </c>
      <c r="D1711" s="178" t="s">
        <v>1177</v>
      </c>
      <c r="E1711" s="180">
        <v>71030</v>
      </c>
      <c r="F1711" s="192">
        <v>0</v>
      </c>
    </row>
    <row r="1712" spans="1:6" ht="24">
      <c r="A1712" s="190">
        <v>540806</v>
      </c>
      <c r="B1712" s="176" t="s">
        <v>2722</v>
      </c>
      <c r="C1712" s="200" t="s">
        <v>1178</v>
      </c>
      <c r="D1712" s="178" t="s">
        <v>1179</v>
      </c>
      <c r="E1712" s="180">
        <v>67519</v>
      </c>
      <c r="F1712" s="192">
        <v>0</v>
      </c>
    </row>
    <row r="1713" spans="1:6" ht="24">
      <c r="A1713" s="190">
        <v>540806</v>
      </c>
      <c r="B1713" s="176" t="s">
        <v>2722</v>
      </c>
      <c r="C1713" s="200" t="s">
        <v>1180</v>
      </c>
      <c r="D1713" s="178" t="s">
        <v>1181</v>
      </c>
      <c r="E1713" s="180">
        <v>38204</v>
      </c>
      <c r="F1713" s="192">
        <v>0</v>
      </c>
    </row>
    <row r="1714" spans="1:6" ht="24">
      <c r="A1714" s="190">
        <v>540806</v>
      </c>
      <c r="B1714" s="176" t="s">
        <v>2722</v>
      </c>
      <c r="C1714" s="200" t="s">
        <v>1182</v>
      </c>
      <c r="D1714" s="178" t="s">
        <v>1183</v>
      </c>
      <c r="E1714" s="180">
        <v>200611</v>
      </c>
      <c r="F1714" s="192">
        <v>0</v>
      </c>
    </row>
    <row r="1715" spans="1:6" ht="24">
      <c r="A1715" s="190">
        <v>540806</v>
      </c>
      <c r="B1715" s="176" t="s">
        <v>2722</v>
      </c>
      <c r="C1715" s="200" t="s">
        <v>1184</v>
      </c>
      <c r="D1715" s="178" t="s">
        <v>1185</v>
      </c>
      <c r="E1715" s="180">
        <v>41628</v>
      </c>
      <c r="F1715" s="192">
        <v>0</v>
      </c>
    </row>
    <row r="1716" spans="1:6" ht="24">
      <c r="A1716" s="190">
        <v>540806</v>
      </c>
      <c r="B1716" s="176" t="s">
        <v>2722</v>
      </c>
      <c r="C1716" s="200" t="s">
        <v>1186</v>
      </c>
      <c r="D1716" s="178" t="s">
        <v>1187</v>
      </c>
      <c r="E1716" s="180">
        <v>23980</v>
      </c>
      <c r="F1716" s="192">
        <v>0</v>
      </c>
    </row>
    <row r="1717" spans="1:6" ht="24">
      <c r="A1717" s="190">
        <v>540806</v>
      </c>
      <c r="B1717" s="176" t="s">
        <v>2722</v>
      </c>
      <c r="C1717" s="200" t="s">
        <v>1188</v>
      </c>
      <c r="D1717" s="178" t="s">
        <v>1189</v>
      </c>
      <c r="E1717" s="180">
        <v>36787</v>
      </c>
      <c r="F1717" s="192">
        <v>0</v>
      </c>
    </row>
    <row r="1718" spans="1:6" ht="24">
      <c r="A1718" s="190">
        <v>540806</v>
      </c>
      <c r="B1718" s="176" t="s">
        <v>2722</v>
      </c>
      <c r="C1718" s="200" t="s">
        <v>1190</v>
      </c>
      <c r="D1718" s="178" t="s">
        <v>1191</v>
      </c>
      <c r="E1718" s="180">
        <v>213934</v>
      </c>
      <c r="F1718" s="192">
        <v>0</v>
      </c>
    </row>
    <row r="1719" spans="1:6" ht="24">
      <c r="A1719" s="190">
        <v>540806</v>
      </c>
      <c r="B1719" s="176" t="s">
        <v>2722</v>
      </c>
      <c r="C1719" s="200" t="s">
        <v>1192</v>
      </c>
      <c r="D1719" s="178" t="s">
        <v>1193</v>
      </c>
      <c r="E1719" s="180">
        <v>87347</v>
      </c>
      <c r="F1719" s="192">
        <v>0</v>
      </c>
    </row>
    <row r="1720" spans="1:6" ht="24">
      <c r="A1720" s="190">
        <v>540806</v>
      </c>
      <c r="B1720" s="176" t="s">
        <v>2722</v>
      </c>
      <c r="C1720" s="200" t="s">
        <v>1194</v>
      </c>
      <c r="D1720" s="178" t="s">
        <v>1195</v>
      </c>
      <c r="E1720" s="180">
        <v>101090</v>
      </c>
      <c r="F1720" s="192">
        <v>0</v>
      </c>
    </row>
    <row r="1721" spans="1:6" ht="24">
      <c r="A1721" s="190">
        <v>540806</v>
      </c>
      <c r="B1721" s="176" t="s">
        <v>2722</v>
      </c>
      <c r="C1721" s="200">
        <v>217605376</v>
      </c>
      <c r="D1721" s="178" t="s">
        <v>1196</v>
      </c>
      <c r="E1721" s="180">
        <v>276312</v>
      </c>
      <c r="F1721" s="192">
        <v>0</v>
      </c>
    </row>
    <row r="1722" spans="1:6" ht="24">
      <c r="A1722" s="190">
        <v>540806</v>
      </c>
      <c r="B1722" s="176" t="s">
        <v>2722</v>
      </c>
      <c r="C1722" s="200" t="s">
        <v>1197</v>
      </c>
      <c r="D1722" s="178" t="s">
        <v>1198</v>
      </c>
      <c r="E1722" s="180">
        <v>222090</v>
      </c>
      <c r="F1722" s="192">
        <v>0</v>
      </c>
    </row>
    <row r="1723" spans="1:6" ht="24">
      <c r="A1723" s="190">
        <v>540806</v>
      </c>
      <c r="B1723" s="176" t="s">
        <v>2722</v>
      </c>
      <c r="C1723" s="200" t="s">
        <v>1199</v>
      </c>
      <c r="D1723" s="178" t="s">
        <v>1200</v>
      </c>
      <c r="E1723" s="180">
        <v>59374</v>
      </c>
      <c r="F1723" s="192">
        <v>0</v>
      </c>
    </row>
    <row r="1724" spans="1:6" ht="24">
      <c r="A1724" s="190">
        <v>540806</v>
      </c>
      <c r="B1724" s="176" t="s">
        <v>2722</v>
      </c>
      <c r="C1724" s="200" t="s">
        <v>1201</v>
      </c>
      <c r="D1724" s="178" t="s">
        <v>1202</v>
      </c>
      <c r="E1724" s="180">
        <v>111897</v>
      </c>
      <c r="F1724" s="192">
        <v>0</v>
      </c>
    </row>
    <row r="1725" spans="1:6" ht="24">
      <c r="A1725" s="190">
        <v>540806</v>
      </c>
      <c r="B1725" s="176" t="s">
        <v>2722</v>
      </c>
      <c r="C1725" s="200" t="s">
        <v>1203</v>
      </c>
      <c r="D1725" s="178" t="s">
        <v>1204</v>
      </c>
      <c r="E1725" s="180">
        <v>73331</v>
      </c>
      <c r="F1725" s="192">
        <v>0</v>
      </c>
    </row>
    <row r="1726" spans="1:6" ht="24">
      <c r="A1726" s="190">
        <v>540806</v>
      </c>
      <c r="B1726" s="176" t="s">
        <v>2722</v>
      </c>
      <c r="C1726" s="200" t="s">
        <v>1205</v>
      </c>
      <c r="D1726" s="178" t="s">
        <v>1206</v>
      </c>
      <c r="E1726" s="180">
        <v>64250</v>
      </c>
      <c r="F1726" s="192">
        <v>0</v>
      </c>
    </row>
    <row r="1727" spans="1:6" ht="24">
      <c r="A1727" s="190">
        <v>540806</v>
      </c>
      <c r="B1727" s="176" t="s">
        <v>2722</v>
      </c>
      <c r="C1727" s="200" t="s">
        <v>1207</v>
      </c>
      <c r="D1727" s="178" t="s">
        <v>1208</v>
      </c>
      <c r="E1727" s="180">
        <v>323129</v>
      </c>
      <c r="F1727" s="192">
        <v>0</v>
      </c>
    </row>
    <row r="1728" spans="1:6" ht="24">
      <c r="A1728" s="190">
        <v>540806</v>
      </c>
      <c r="B1728" s="176" t="s">
        <v>2722</v>
      </c>
      <c r="C1728" s="200" t="s">
        <v>1209</v>
      </c>
      <c r="D1728" s="178" t="s">
        <v>1210</v>
      </c>
      <c r="E1728" s="180">
        <v>40057</v>
      </c>
      <c r="F1728" s="192">
        <v>0</v>
      </c>
    </row>
    <row r="1729" spans="1:6" ht="24">
      <c r="A1729" s="190">
        <v>540806</v>
      </c>
      <c r="B1729" s="176" t="s">
        <v>2722</v>
      </c>
      <c r="C1729" s="200" t="s">
        <v>1211</v>
      </c>
      <c r="D1729" s="178" t="s">
        <v>1212</v>
      </c>
      <c r="E1729" s="180">
        <v>55288</v>
      </c>
      <c r="F1729" s="192">
        <v>0</v>
      </c>
    </row>
    <row r="1730" spans="1:6" ht="24">
      <c r="A1730" s="190">
        <v>540806</v>
      </c>
      <c r="B1730" s="176" t="s">
        <v>2722</v>
      </c>
      <c r="C1730" s="200" t="s">
        <v>1213</v>
      </c>
      <c r="D1730" s="178" t="s">
        <v>1214</v>
      </c>
      <c r="E1730" s="180">
        <v>145471</v>
      </c>
      <c r="F1730" s="192">
        <v>0</v>
      </c>
    </row>
    <row r="1731" spans="1:6" ht="24">
      <c r="A1731" s="190">
        <v>540806</v>
      </c>
      <c r="B1731" s="176" t="s">
        <v>2722</v>
      </c>
      <c r="C1731" s="200" t="s">
        <v>1215</v>
      </c>
      <c r="D1731" s="178" t="s">
        <v>1216</v>
      </c>
      <c r="E1731" s="180">
        <v>70306</v>
      </c>
      <c r="F1731" s="192">
        <v>0</v>
      </c>
    </row>
    <row r="1732" spans="1:6" ht="24">
      <c r="A1732" s="190">
        <v>540806</v>
      </c>
      <c r="B1732" s="176" t="s">
        <v>2722</v>
      </c>
      <c r="C1732" s="200" t="s">
        <v>1217</v>
      </c>
      <c r="D1732" s="178" t="s">
        <v>1218</v>
      </c>
      <c r="E1732" s="180">
        <v>468753</v>
      </c>
      <c r="F1732" s="192">
        <v>0</v>
      </c>
    </row>
    <row r="1733" spans="1:6" ht="24">
      <c r="A1733" s="190">
        <v>540806</v>
      </c>
      <c r="B1733" s="176" t="s">
        <v>2722</v>
      </c>
      <c r="C1733" s="200" t="s">
        <v>1219</v>
      </c>
      <c r="D1733" s="178" t="s">
        <v>1220</v>
      </c>
      <c r="E1733" s="180">
        <v>175596</v>
      </c>
      <c r="F1733" s="192">
        <v>0</v>
      </c>
    </row>
    <row r="1734" spans="1:6" ht="24">
      <c r="A1734" s="190">
        <v>540806</v>
      </c>
      <c r="B1734" s="176" t="s">
        <v>2722</v>
      </c>
      <c r="C1734" s="200" t="s">
        <v>1221</v>
      </c>
      <c r="D1734" s="178" t="s">
        <v>1222</v>
      </c>
      <c r="E1734" s="180">
        <v>20317</v>
      </c>
      <c r="F1734" s="192">
        <v>0</v>
      </c>
    </row>
    <row r="1735" spans="1:6" ht="24">
      <c r="A1735" s="190">
        <v>540806</v>
      </c>
      <c r="B1735" s="176" t="s">
        <v>2722</v>
      </c>
      <c r="C1735" s="200" t="s">
        <v>1223</v>
      </c>
      <c r="D1735" s="178" t="s">
        <v>1224</v>
      </c>
      <c r="E1735" s="180">
        <v>115260</v>
      </c>
      <c r="F1735" s="192">
        <v>0</v>
      </c>
    </row>
    <row r="1736" spans="1:6" ht="24">
      <c r="A1736" s="190">
        <v>540806</v>
      </c>
      <c r="B1736" s="176" t="s">
        <v>2722</v>
      </c>
      <c r="C1736" s="200" t="s">
        <v>1225</v>
      </c>
      <c r="D1736" s="178" t="s">
        <v>1226</v>
      </c>
      <c r="E1736" s="180">
        <v>69276</v>
      </c>
      <c r="F1736" s="192">
        <v>0</v>
      </c>
    </row>
    <row r="1737" spans="1:6" ht="24">
      <c r="A1737" s="190">
        <v>540806</v>
      </c>
      <c r="B1737" s="176" t="s">
        <v>2722</v>
      </c>
      <c r="C1737" s="200" t="s">
        <v>1227</v>
      </c>
      <c r="D1737" s="178" t="s">
        <v>1228</v>
      </c>
      <c r="E1737" s="180">
        <v>54407</v>
      </c>
      <c r="F1737" s="192">
        <v>0</v>
      </c>
    </row>
    <row r="1738" spans="1:6" ht="24">
      <c r="A1738" s="190">
        <v>540806</v>
      </c>
      <c r="B1738" s="176" t="s">
        <v>2722</v>
      </c>
      <c r="C1738" s="200" t="s">
        <v>1229</v>
      </c>
      <c r="D1738" s="178" t="s">
        <v>1230</v>
      </c>
      <c r="E1738" s="180">
        <v>255509</v>
      </c>
      <c r="F1738" s="192">
        <v>0</v>
      </c>
    </row>
    <row r="1739" spans="1:6" ht="24">
      <c r="A1739" s="190">
        <v>540806</v>
      </c>
      <c r="B1739" s="176" t="s">
        <v>2722</v>
      </c>
      <c r="C1739" s="200">
        <v>218505585</v>
      </c>
      <c r="D1739" s="178" t="s">
        <v>1231</v>
      </c>
      <c r="E1739" s="180">
        <v>111393</v>
      </c>
      <c r="F1739" s="192">
        <v>0</v>
      </c>
    </row>
    <row r="1740" spans="1:6" ht="24">
      <c r="A1740" s="190">
        <v>540806</v>
      </c>
      <c r="B1740" s="176" t="s">
        <v>2722</v>
      </c>
      <c r="C1740" s="200" t="s">
        <v>1232</v>
      </c>
      <c r="D1740" s="178" t="s">
        <v>1233</v>
      </c>
      <c r="E1740" s="180">
        <v>83748</v>
      </c>
      <c r="F1740" s="192">
        <v>0</v>
      </c>
    </row>
    <row r="1741" spans="1:6" ht="24">
      <c r="A1741" s="190">
        <v>540806</v>
      </c>
      <c r="B1741" s="176" t="s">
        <v>2722</v>
      </c>
      <c r="C1741" s="200" t="s">
        <v>1234</v>
      </c>
      <c r="D1741" s="178" t="s">
        <v>1235</v>
      </c>
      <c r="E1741" s="180">
        <v>148759</v>
      </c>
      <c r="F1741" s="192">
        <v>0</v>
      </c>
    </row>
    <row r="1742" spans="1:6" ht="24">
      <c r="A1742" s="190">
        <v>540806</v>
      </c>
      <c r="B1742" s="176" t="s">
        <v>2722</v>
      </c>
      <c r="C1742" s="200" t="s">
        <v>1236</v>
      </c>
      <c r="D1742" s="178" t="s">
        <v>1237</v>
      </c>
      <c r="E1742" s="180">
        <v>86950</v>
      </c>
      <c r="F1742" s="192">
        <v>0</v>
      </c>
    </row>
    <row r="1743" spans="1:6" ht="24">
      <c r="A1743" s="190">
        <v>540806</v>
      </c>
      <c r="B1743" s="176" t="s">
        <v>2722</v>
      </c>
      <c r="C1743" s="200" t="s">
        <v>1238</v>
      </c>
      <c r="D1743" s="178" t="s">
        <v>1239</v>
      </c>
      <c r="E1743" s="180">
        <v>612469</v>
      </c>
      <c r="F1743" s="192">
        <v>0</v>
      </c>
    </row>
    <row r="1744" spans="1:6" ht="24">
      <c r="A1744" s="190">
        <v>540806</v>
      </c>
      <c r="B1744" s="176" t="s">
        <v>2722</v>
      </c>
      <c r="C1744" s="200" t="s">
        <v>1240</v>
      </c>
      <c r="D1744" s="178" t="s">
        <v>1241</v>
      </c>
      <c r="E1744" s="180">
        <v>58545</v>
      </c>
      <c r="F1744" s="192">
        <v>0</v>
      </c>
    </row>
    <row r="1745" spans="1:6" ht="24">
      <c r="A1745" s="190">
        <v>540806</v>
      </c>
      <c r="B1745" s="176" t="s">
        <v>2722</v>
      </c>
      <c r="C1745" s="200" t="s">
        <v>1242</v>
      </c>
      <c r="D1745" s="178" t="s">
        <v>1243</v>
      </c>
      <c r="E1745" s="180">
        <v>223565</v>
      </c>
      <c r="F1745" s="192">
        <v>0</v>
      </c>
    </row>
    <row r="1746" spans="1:6" ht="24">
      <c r="A1746" s="190">
        <v>540806</v>
      </c>
      <c r="B1746" s="176" t="s">
        <v>2722</v>
      </c>
      <c r="C1746" s="200" t="s">
        <v>1244</v>
      </c>
      <c r="D1746" s="178" t="s">
        <v>1245</v>
      </c>
      <c r="E1746" s="180">
        <v>101733</v>
      </c>
      <c r="F1746" s="192">
        <v>0</v>
      </c>
    </row>
    <row r="1747" spans="1:6" ht="24">
      <c r="A1747" s="190">
        <v>540806</v>
      </c>
      <c r="B1747" s="176" t="s">
        <v>2722</v>
      </c>
      <c r="C1747" s="200">
        <v>118888000</v>
      </c>
      <c r="D1747" s="178" t="s">
        <v>1017</v>
      </c>
      <c r="E1747" s="180">
        <v>51232</v>
      </c>
      <c r="F1747" s="192">
        <v>0</v>
      </c>
    </row>
    <row r="1748" spans="1:6" ht="24">
      <c r="A1748" s="190">
        <v>540806</v>
      </c>
      <c r="B1748" s="176" t="s">
        <v>2722</v>
      </c>
      <c r="C1748" s="200" t="s">
        <v>1246</v>
      </c>
      <c r="D1748" s="178" t="s">
        <v>1247</v>
      </c>
      <c r="E1748" s="180">
        <v>99345</v>
      </c>
      <c r="F1748" s="192">
        <v>0</v>
      </c>
    </row>
    <row r="1749" spans="1:6" ht="24">
      <c r="A1749" s="190">
        <v>540806</v>
      </c>
      <c r="B1749" s="176" t="s">
        <v>2722</v>
      </c>
      <c r="C1749" s="200" t="s">
        <v>1248</v>
      </c>
      <c r="D1749" s="178" t="s">
        <v>1249</v>
      </c>
      <c r="E1749" s="180">
        <v>43987</v>
      </c>
      <c r="F1749" s="192">
        <v>0</v>
      </c>
    </row>
    <row r="1750" spans="1:6" ht="24">
      <c r="A1750" s="190">
        <v>540806</v>
      </c>
      <c r="B1750" s="176" t="s">
        <v>2722</v>
      </c>
      <c r="C1750" s="200" t="s">
        <v>1250</v>
      </c>
      <c r="D1750" s="178" t="s">
        <v>1251</v>
      </c>
      <c r="E1750" s="180">
        <v>86804</v>
      </c>
      <c r="F1750" s="192">
        <v>0</v>
      </c>
    </row>
    <row r="1751" spans="1:6" ht="24">
      <c r="A1751" s="190">
        <v>540806</v>
      </c>
      <c r="B1751" s="176" t="s">
        <v>2722</v>
      </c>
      <c r="C1751" s="200" t="s">
        <v>1252</v>
      </c>
      <c r="D1751" s="178" t="s">
        <v>1253</v>
      </c>
      <c r="E1751" s="180">
        <v>22434</v>
      </c>
      <c r="F1751" s="192">
        <v>0</v>
      </c>
    </row>
    <row r="1752" spans="1:6" ht="24">
      <c r="A1752" s="190">
        <v>540806</v>
      </c>
      <c r="B1752" s="176" t="s">
        <v>2722</v>
      </c>
      <c r="C1752" s="200" t="s">
        <v>1254</v>
      </c>
      <c r="D1752" s="178" t="s">
        <v>1255</v>
      </c>
      <c r="E1752" s="180">
        <v>272331</v>
      </c>
      <c r="F1752" s="192">
        <v>0</v>
      </c>
    </row>
    <row r="1753" spans="1:6" ht="24">
      <c r="A1753" s="190">
        <v>540806</v>
      </c>
      <c r="B1753" s="176" t="s">
        <v>2722</v>
      </c>
      <c r="C1753" s="200" t="s">
        <v>1256</v>
      </c>
      <c r="D1753" s="178" t="s">
        <v>1257</v>
      </c>
      <c r="E1753" s="180">
        <v>80489</v>
      </c>
      <c r="F1753" s="192">
        <v>0</v>
      </c>
    </row>
    <row r="1754" spans="1:6" ht="24">
      <c r="A1754" s="190">
        <v>540806</v>
      </c>
      <c r="B1754" s="176" t="s">
        <v>2722</v>
      </c>
      <c r="C1754" s="200" t="s">
        <v>1258</v>
      </c>
      <c r="D1754" s="178" t="s">
        <v>1259</v>
      </c>
      <c r="E1754" s="180">
        <v>159673</v>
      </c>
      <c r="F1754" s="192">
        <v>0</v>
      </c>
    </row>
    <row r="1755" spans="1:6" ht="24">
      <c r="A1755" s="190">
        <v>540806</v>
      </c>
      <c r="B1755" s="176" t="s">
        <v>2722</v>
      </c>
      <c r="C1755" s="200" t="s">
        <v>1260</v>
      </c>
      <c r="D1755" s="178" t="s">
        <v>1261</v>
      </c>
      <c r="E1755" s="180">
        <v>236859</v>
      </c>
      <c r="F1755" s="192">
        <v>0</v>
      </c>
    </row>
    <row r="1756" spans="1:6" ht="24">
      <c r="A1756" s="190">
        <v>540806</v>
      </c>
      <c r="B1756" s="176" t="s">
        <v>2722</v>
      </c>
      <c r="C1756" s="200" t="s">
        <v>1262</v>
      </c>
      <c r="D1756" s="178" t="s">
        <v>1263</v>
      </c>
      <c r="E1756" s="180">
        <v>89593</v>
      </c>
      <c r="F1756" s="192">
        <v>0</v>
      </c>
    </row>
    <row r="1757" spans="1:6" ht="24">
      <c r="A1757" s="190">
        <v>540806</v>
      </c>
      <c r="B1757" s="176" t="s">
        <v>2722</v>
      </c>
      <c r="C1757" s="200" t="s">
        <v>1264</v>
      </c>
      <c r="D1757" s="178" t="s">
        <v>1265</v>
      </c>
      <c r="E1757" s="180">
        <v>137859</v>
      </c>
      <c r="F1757" s="192">
        <v>0</v>
      </c>
    </row>
    <row r="1758" spans="1:6" ht="24">
      <c r="A1758" s="190">
        <v>540806</v>
      </c>
      <c r="B1758" s="176" t="s">
        <v>2722</v>
      </c>
      <c r="C1758" s="200" t="s">
        <v>1266</v>
      </c>
      <c r="D1758" s="178" t="s">
        <v>1267</v>
      </c>
      <c r="E1758" s="180">
        <v>124766</v>
      </c>
      <c r="F1758" s="192">
        <v>0</v>
      </c>
    </row>
    <row r="1759" spans="1:6" ht="24">
      <c r="A1759" s="190">
        <v>540806</v>
      </c>
      <c r="B1759" s="176" t="s">
        <v>2722</v>
      </c>
      <c r="C1759" s="200" t="s">
        <v>1268</v>
      </c>
      <c r="D1759" s="178" t="s">
        <v>1269</v>
      </c>
      <c r="E1759" s="180">
        <v>162887</v>
      </c>
      <c r="F1759" s="192">
        <v>0</v>
      </c>
    </row>
    <row r="1760" spans="1:6" ht="24">
      <c r="A1760" s="190">
        <v>540806</v>
      </c>
      <c r="B1760" s="176" t="s">
        <v>2722</v>
      </c>
      <c r="C1760" s="200" t="s">
        <v>1270</v>
      </c>
      <c r="D1760" s="178" t="s">
        <v>1271</v>
      </c>
      <c r="E1760" s="180">
        <v>220253</v>
      </c>
      <c r="F1760" s="192">
        <v>0</v>
      </c>
    </row>
    <row r="1761" spans="1:6" ht="24">
      <c r="A1761" s="190">
        <v>540806</v>
      </c>
      <c r="B1761" s="176" t="s">
        <v>2722</v>
      </c>
      <c r="C1761" s="200" t="s">
        <v>1272</v>
      </c>
      <c r="D1761" s="178" t="s">
        <v>1273</v>
      </c>
      <c r="E1761" s="180">
        <v>88924</v>
      </c>
      <c r="F1761" s="192">
        <v>0</v>
      </c>
    </row>
    <row r="1762" spans="1:6" ht="24">
      <c r="A1762" s="190">
        <v>540806</v>
      </c>
      <c r="B1762" s="176" t="s">
        <v>2722</v>
      </c>
      <c r="C1762" s="200" t="s">
        <v>1274</v>
      </c>
      <c r="D1762" s="178" t="s">
        <v>1275</v>
      </c>
      <c r="E1762" s="180">
        <v>184894</v>
      </c>
      <c r="F1762" s="192">
        <v>0</v>
      </c>
    </row>
    <row r="1763" spans="1:6" ht="24">
      <c r="A1763" s="190">
        <v>540806</v>
      </c>
      <c r="B1763" s="176" t="s">
        <v>2722</v>
      </c>
      <c r="C1763" s="200" t="s">
        <v>1276</v>
      </c>
      <c r="D1763" s="178" t="s">
        <v>1277</v>
      </c>
      <c r="E1763" s="180">
        <v>199627</v>
      </c>
      <c r="F1763" s="192">
        <v>0</v>
      </c>
    </row>
    <row r="1764" spans="1:6" ht="24">
      <c r="A1764" s="190">
        <v>540806</v>
      </c>
      <c r="B1764" s="176" t="s">
        <v>2722</v>
      </c>
      <c r="C1764" s="200" t="s">
        <v>1278</v>
      </c>
      <c r="D1764" s="178" t="s">
        <v>1279</v>
      </c>
      <c r="E1764" s="180">
        <v>257620</v>
      </c>
      <c r="F1764" s="192">
        <v>0</v>
      </c>
    </row>
    <row r="1765" spans="1:6" ht="24">
      <c r="A1765" s="190">
        <v>540806</v>
      </c>
      <c r="B1765" s="176" t="s">
        <v>2722</v>
      </c>
      <c r="C1765" s="200" t="s">
        <v>1280</v>
      </c>
      <c r="D1765" s="178" t="s">
        <v>1281</v>
      </c>
      <c r="E1765" s="180">
        <v>108059</v>
      </c>
      <c r="F1765" s="192">
        <v>0</v>
      </c>
    </row>
    <row r="1766" spans="1:6" ht="24">
      <c r="A1766" s="190">
        <v>540806</v>
      </c>
      <c r="B1766" s="176" t="s">
        <v>2722</v>
      </c>
      <c r="C1766" s="200" t="s">
        <v>1282</v>
      </c>
      <c r="D1766" s="178" t="s">
        <v>1283</v>
      </c>
      <c r="E1766" s="180">
        <v>112687</v>
      </c>
      <c r="F1766" s="192">
        <v>0</v>
      </c>
    </row>
    <row r="1767" spans="1:6" ht="24">
      <c r="A1767" s="190">
        <v>540806</v>
      </c>
      <c r="B1767" s="176" t="s">
        <v>2722</v>
      </c>
      <c r="C1767" s="200">
        <v>219005790</v>
      </c>
      <c r="D1767" s="178" t="s">
        <v>1284</v>
      </c>
      <c r="E1767" s="180">
        <v>211951</v>
      </c>
      <c r="F1767" s="192">
        <v>0</v>
      </c>
    </row>
    <row r="1768" spans="1:6" ht="24">
      <c r="A1768" s="190">
        <v>540806</v>
      </c>
      <c r="B1768" s="176" t="s">
        <v>2722</v>
      </c>
      <c r="C1768" s="200" t="s">
        <v>1285</v>
      </c>
      <c r="D1768" s="178" t="s">
        <v>1286</v>
      </c>
      <c r="E1768" s="180">
        <v>44417</v>
      </c>
      <c r="F1768" s="192">
        <v>0</v>
      </c>
    </row>
    <row r="1769" spans="1:6" ht="24">
      <c r="A1769" s="190">
        <v>540806</v>
      </c>
      <c r="B1769" s="176" t="s">
        <v>2722</v>
      </c>
      <c r="C1769" s="200" t="s">
        <v>1287</v>
      </c>
      <c r="D1769" s="178" t="s">
        <v>1288</v>
      </c>
      <c r="E1769" s="180">
        <v>66820</v>
      </c>
      <c r="F1769" s="192">
        <v>0</v>
      </c>
    </row>
    <row r="1770" spans="1:6" ht="24">
      <c r="A1770" s="190">
        <v>540806</v>
      </c>
      <c r="B1770" s="176" t="s">
        <v>2722</v>
      </c>
      <c r="C1770" s="200" t="s">
        <v>1289</v>
      </c>
      <c r="D1770" s="178" t="s">
        <v>1290</v>
      </c>
      <c r="E1770" s="180">
        <v>46999</v>
      </c>
      <c r="F1770" s="192">
        <v>0</v>
      </c>
    </row>
    <row r="1771" spans="1:6" ht="24">
      <c r="A1771" s="190">
        <v>540806</v>
      </c>
      <c r="B1771" s="176" t="s">
        <v>2722</v>
      </c>
      <c r="C1771" s="200" t="s">
        <v>1291</v>
      </c>
      <c r="D1771" s="178" t="s">
        <v>1292</v>
      </c>
      <c r="E1771" s="180">
        <v>61138</v>
      </c>
      <c r="F1771" s="192">
        <v>0</v>
      </c>
    </row>
    <row r="1772" spans="1:6" ht="24">
      <c r="A1772" s="190">
        <v>540806</v>
      </c>
      <c r="B1772" s="176" t="s">
        <v>2722</v>
      </c>
      <c r="C1772" s="200" t="s">
        <v>1293</v>
      </c>
      <c r="D1772" s="178" t="s">
        <v>1294</v>
      </c>
      <c r="E1772" s="180">
        <v>222354</v>
      </c>
      <c r="F1772" s="192">
        <v>0</v>
      </c>
    </row>
    <row r="1773" spans="1:6" ht="24">
      <c r="A1773" s="190">
        <v>540806</v>
      </c>
      <c r="B1773" s="176" t="s">
        <v>2722</v>
      </c>
      <c r="C1773" s="200" t="s">
        <v>1295</v>
      </c>
      <c r="D1773" s="178" t="s">
        <v>1296</v>
      </c>
      <c r="E1773" s="180">
        <v>109921</v>
      </c>
      <c r="F1773" s="192">
        <v>0</v>
      </c>
    </row>
    <row r="1774" spans="1:6" ht="24">
      <c r="A1774" s="190">
        <v>540806</v>
      </c>
      <c r="B1774" s="176" t="s">
        <v>2722</v>
      </c>
      <c r="C1774" s="200" t="s">
        <v>1297</v>
      </c>
      <c r="D1774" s="178" t="s">
        <v>1298</v>
      </c>
      <c r="E1774" s="180">
        <v>42630</v>
      </c>
      <c r="F1774" s="192">
        <v>0</v>
      </c>
    </row>
    <row r="1775" spans="1:6" ht="24">
      <c r="A1775" s="190">
        <v>540806</v>
      </c>
      <c r="B1775" s="176" t="s">
        <v>2722</v>
      </c>
      <c r="C1775" s="200" t="s">
        <v>1299</v>
      </c>
      <c r="D1775" s="178" t="s">
        <v>1300</v>
      </c>
      <c r="E1775" s="180">
        <v>68742</v>
      </c>
      <c r="F1775" s="192">
        <v>0</v>
      </c>
    </row>
    <row r="1776" spans="1:6" ht="24">
      <c r="A1776" s="190">
        <v>540806</v>
      </c>
      <c r="B1776" s="176" t="s">
        <v>2722</v>
      </c>
      <c r="C1776" s="200" t="s">
        <v>1301</v>
      </c>
      <c r="D1776" s="178" t="s">
        <v>1302</v>
      </c>
      <c r="E1776" s="180">
        <v>91859</v>
      </c>
      <c r="F1776" s="192">
        <v>0</v>
      </c>
    </row>
    <row r="1777" spans="1:6" ht="24">
      <c r="A1777" s="190">
        <v>540806</v>
      </c>
      <c r="B1777" s="176" t="s">
        <v>2722</v>
      </c>
      <c r="C1777" s="200" t="s">
        <v>1303</v>
      </c>
      <c r="D1777" s="178" t="s">
        <v>1304</v>
      </c>
      <c r="E1777" s="180">
        <v>149978</v>
      </c>
      <c r="F1777" s="192">
        <v>0</v>
      </c>
    </row>
    <row r="1778" spans="1:6" ht="24">
      <c r="A1778" s="190">
        <v>540806</v>
      </c>
      <c r="B1778" s="176" t="s">
        <v>2722</v>
      </c>
      <c r="C1778" s="200" t="s">
        <v>1305</v>
      </c>
      <c r="D1778" s="178" t="s">
        <v>1306</v>
      </c>
      <c r="E1778" s="180">
        <v>50069</v>
      </c>
      <c r="F1778" s="192">
        <v>0</v>
      </c>
    </row>
    <row r="1779" spans="1:6" ht="24">
      <c r="A1779" s="190">
        <v>540806</v>
      </c>
      <c r="B1779" s="176" t="s">
        <v>2722</v>
      </c>
      <c r="C1779" s="200" t="s">
        <v>1307</v>
      </c>
      <c r="D1779" s="178" t="s">
        <v>1308</v>
      </c>
      <c r="E1779" s="180">
        <v>277488</v>
      </c>
      <c r="F1779" s="192">
        <v>0</v>
      </c>
    </row>
    <row r="1780" spans="1:6" ht="24">
      <c r="A1780" s="190">
        <v>540806</v>
      </c>
      <c r="B1780" s="176" t="s">
        <v>2722</v>
      </c>
      <c r="C1780" s="200" t="s">
        <v>1309</v>
      </c>
      <c r="D1780" s="178" t="s">
        <v>1310</v>
      </c>
      <c r="E1780" s="180">
        <v>136521</v>
      </c>
      <c r="F1780" s="192">
        <v>0</v>
      </c>
    </row>
    <row r="1781" spans="1:6" ht="24">
      <c r="A1781" s="190">
        <v>540806</v>
      </c>
      <c r="B1781" s="176" t="s">
        <v>2722</v>
      </c>
      <c r="C1781" s="200" t="s">
        <v>1311</v>
      </c>
      <c r="D1781" s="178" t="s">
        <v>1312</v>
      </c>
      <c r="E1781" s="180">
        <v>117776</v>
      </c>
      <c r="F1781" s="192">
        <v>0</v>
      </c>
    </row>
    <row r="1782" spans="1:6" ht="24">
      <c r="A1782" s="190">
        <v>540806</v>
      </c>
      <c r="B1782" s="176" t="s">
        <v>2722</v>
      </c>
      <c r="C1782" s="200" t="s">
        <v>1313</v>
      </c>
      <c r="D1782" s="178" t="s">
        <v>1314</v>
      </c>
      <c r="E1782" s="180">
        <v>226584</v>
      </c>
      <c r="F1782" s="192">
        <v>0</v>
      </c>
    </row>
    <row r="1783" spans="1:6" ht="24">
      <c r="A1783" s="190">
        <v>540806</v>
      </c>
      <c r="B1783" s="176" t="s">
        <v>2722</v>
      </c>
      <c r="C1783" s="200" t="s">
        <v>1315</v>
      </c>
      <c r="D1783" s="178" t="s">
        <v>1316</v>
      </c>
      <c r="E1783" s="180">
        <v>398458</v>
      </c>
      <c r="F1783" s="192">
        <v>0</v>
      </c>
    </row>
    <row r="1784" spans="1:6" ht="24">
      <c r="A1784" s="190">
        <v>540806</v>
      </c>
      <c r="B1784" s="176" t="s">
        <v>2722</v>
      </c>
      <c r="C1784" s="200" t="s">
        <v>1317</v>
      </c>
      <c r="D1784" s="178" t="s">
        <v>1318</v>
      </c>
      <c r="E1784" s="180">
        <v>182359</v>
      </c>
      <c r="F1784" s="192">
        <v>0</v>
      </c>
    </row>
    <row r="1785" spans="1:6" ht="24">
      <c r="A1785" s="190">
        <v>540806</v>
      </c>
      <c r="B1785" s="176" t="s">
        <v>2722</v>
      </c>
      <c r="C1785" s="200" t="s">
        <v>1319</v>
      </c>
      <c r="D1785" s="178" t="s">
        <v>1320</v>
      </c>
      <c r="E1785" s="180">
        <v>113049</v>
      </c>
      <c r="F1785" s="192">
        <v>0</v>
      </c>
    </row>
    <row r="1786" spans="1:6" ht="24">
      <c r="A1786" s="190">
        <v>540806</v>
      </c>
      <c r="B1786" s="176" t="s">
        <v>2722</v>
      </c>
      <c r="C1786" s="200" t="s">
        <v>1321</v>
      </c>
      <c r="D1786" s="178" t="s">
        <v>1322</v>
      </c>
      <c r="E1786" s="180">
        <v>216808</v>
      </c>
      <c r="F1786" s="192">
        <v>0</v>
      </c>
    </row>
    <row r="1787" spans="1:6" ht="24">
      <c r="A1787" s="190">
        <v>540806</v>
      </c>
      <c r="B1787" s="176" t="s">
        <v>2722</v>
      </c>
      <c r="C1787" s="200" t="s">
        <v>1323</v>
      </c>
      <c r="D1787" s="178" t="s">
        <v>1324</v>
      </c>
      <c r="E1787" s="180">
        <v>110995</v>
      </c>
      <c r="F1787" s="192">
        <v>0</v>
      </c>
    </row>
    <row r="1788" spans="1:6" ht="24">
      <c r="A1788" s="190">
        <v>540806</v>
      </c>
      <c r="B1788" s="176" t="s">
        <v>2722</v>
      </c>
      <c r="C1788" s="200" t="s">
        <v>1325</v>
      </c>
      <c r="D1788" s="178" t="s">
        <v>1326</v>
      </c>
      <c r="E1788" s="180">
        <v>205925</v>
      </c>
      <c r="F1788" s="192">
        <v>0</v>
      </c>
    </row>
    <row r="1789" spans="1:6" ht="24">
      <c r="A1789" s="190">
        <v>540806</v>
      </c>
      <c r="B1789" s="176" t="s">
        <v>2722</v>
      </c>
      <c r="C1789" s="200" t="s">
        <v>1327</v>
      </c>
      <c r="D1789" s="178" t="s">
        <v>1328</v>
      </c>
      <c r="E1789" s="180">
        <v>428501</v>
      </c>
      <c r="F1789" s="192">
        <v>0</v>
      </c>
    </row>
    <row r="1790" spans="1:6" ht="24">
      <c r="A1790" s="190">
        <v>540806</v>
      </c>
      <c r="B1790" s="176" t="s">
        <v>2722</v>
      </c>
      <c r="C1790" s="200" t="s">
        <v>1329</v>
      </c>
      <c r="D1790" s="178" t="s">
        <v>1330</v>
      </c>
      <c r="E1790" s="180">
        <v>175020</v>
      </c>
      <c r="F1790" s="192">
        <v>0</v>
      </c>
    </row>
    <row r="1791" spans="1:6" ht="24">
      <c r="A1791" s="190">
        <v>540806</v>
      </c>
      <c r="B1791" s="176" t="s">
        <v>2722</v>
      </c>
      <c r="C1791" s="200" t="s">
        <v>1331</v>
      </c>
      <c r="D1791" s="178" t="s">
        <v>1332</v>
      </c>
      <c r="E1791" s="180">
        <v>151848</v>
      </c>
      <c r="F1791" s="192">
        <v>0</v>
      </c>
    </row>
    <row r="1792" spans="1:6" ht="24">
      <c r="A1792" s="190">
        <v>540806</v>
      </c>
      <c r="B1792" s="176" t="s">
        <v>2722</v>
      </c>
      <c r="C1792" s="200" t="s">
        <v>1333</v>
      </c>
      <c r="D1792" s="178" t="s">
        <v>1334</v>
      </c>
      <c r="E1792" s="180">
        <v>39421</v>
      </c>
      <c r="F1792" s="192">
        <v>0</v>
      </c>
    </row>
    <row r="1793" spans="1:6" ht="24">
      <c r="A1793" s="190">
        <v>540806</v>
      </c>
      <c r="B1793" s="176" t="s">
        <v>2722</v>
      </c>
      <c r="C1793" s="200" t="s">
        <v>1335</v>
      </c>
      <c r="D1793" s="178" t="s">
        <v>1336</v>
      </c>
      <c r="E1793" s="180">
        <v>99944</v>
      </c>
      <c r="F1793" s="192">
        <v>0</v>
      </c>
    </row>
    <row r="1794" spans="1:6" ht="24">
      <c r="A1794" s="190">
        <v>540806</v>
      </c>
      <c r="B1794" s="176" t="s">
        <v>2722</v>
      </c>
      <c r="C1794" s="200" t="s">
        <v>1337</v>
      </c>
      <c r="D1794" s="178" t="s">
        <v>1338</v>
      </c>
      <c r="E1794" s="180">
        <v>158569</v>
      </c>
      <c r="F1794" s="192">
        <v>0</v>
      </c>
    </row>
    <row r="1795" spans="1:6" ht="24">
      <c r="A1795" s="190">
        <v>540806</v>
      </c>
      <c r="B1795" s="176" t="s">
        <v>2722</v>
      </c>
      <c r="C1795" s="200" t="s">
        <v>1339</v>
      </c>
      <c r="D1795" s="178" t="s">
        <v>1340</v>
      </c>
      <c r="E1795" s="180">
        <v>172877</v>
      </c>
      <c r="F1795" s="192">
        <v>0</v>
      </c>
    </row>
    <row r="1796" spans="1:6" ht="24">
      <c r="A1796" s="190">
        <v>540806</v>
      </c>
      <c r="B1796" s="176" t="s">
        <v>2722</v>
      </c>
      <c r="C1796" s="200" t="s">
        <v>1341</v>
      </c>
      <c r="D1796" s="178" t="s">
        <v>1342</v>
      </c>
      <c r="E1796" s="180">
        <v>192836</v>
      </c>
      <c r="F1796" s="192">
        <v>0</v>
      </c>
    </row>
    <row r="1797" spans="1:6" ht="24">
      <c r="A1797" s="190">
        <v>540806</v>
      </c>
      <c r="B1797" s="176" t="s">
        <v>2722</v>
      </c>
      <c r="C1797" s="200" t="s">
        <v>1343</v>
      </c>
      <c r="D1797" s="178" t="s">
        <v>1344</v>
      </c>
      <c r="E1797" s="180">
        <v>200042</v>
      </c>
      <c r="F1797" s="192">
        <v>0</v>
      </c>
    </row>
    <row r="1798" spans="1:6" ht="24">
      <c r="A1798" s="190">
        <v>540806</v>
      </c>
      <c r="B1798" s="176" t="s">
        <v>2722</v>
      </c>
      <c r="C1798" s="200" t="s">
        <v>1345</v>
      </c>
      <c r="D1798" s="178" t="s">
        <v>1241</v>
      </c>
      <c r="E1798" s="180">
        <v>198108</v>
      </c>
      <c r="F1798" s="192">
        <v>0</v>
      </c>
    </row>
    <row r="1799" spans="1:6" ht="24">
      <c r="A1799" s="190">
        <v>540806</v>
      </c>
      <c r="B1799" s="176" t="s">
        <v>2722</v>
      </c>
      <c r="C1799" s="200" t="s">
        <v>1346</v>
      </c>
      <c r="D1799" s="178" t="s">
        <v>1347</v>
      </c>
      <c r="E1799" s="180">
        <v>110086</v>
      </c>
      <c r="F1799" s="192">
        <v>0</v>
      </c>
    </row>
    <row r="1800" spans="1:6" ht="24">
      <c r="A1800" s="190">
        <v>540806</v>
      </c>
      <c r="B1800" s="176" t="s">
        <v>2722</v>
      </c>
      <c r="C1800" s="200" t="s">
        <v>1348</v>
      </c>
      <c r="D1800" s="178" t="s">
        <v>1349</v>
      </c>
      <c r="E1800" s="180">
        <v>156234</v>
      </c>
      <c r="F1800" s="192">
        <v>0</v>
      </c>
    </row>
    <row r="1801" spans="1:6" ht="24">
      <c r="A1801" s="190">
        <v>540806</v>
      </c>
      <c r="B1801" s="176" t="s">
        <v>2722</v>
      </c>
      <c r="C1801" s="200" t="s">
        <v>1350</v>
      </c>
      <c r="D1801" s="178" t="s">
        <v>1351</v>
      </c>
      <c r="E1801" s="180">
        <v>85056</v>
      </c>
      <c r="F1801" s="192">
        <v>0</v>
      </c>
    </row>
    <row r="1802" spans="1:6" ht="24">
      <c r="A1802" s="190">
        <v>540806</v>
      </c>
      <c r="B1802" s="176" t="s">
        <v>2722</v>
      </c>
      <c r="C1802" s="200" t="s">
        <v>1352</v>
      </c>
      <c r="D1802" s="178" t="s">
        <v>1353</v>
      </c>
      <c r="E1802" s="180">
        <v>70667</v>
      </c>
      <c r="F1802" s="192">
        <v>0</v>
      </c>
    </row>
    <row r="1803" spans="1:6" ht="24">
      <c r="A1803" s="190">
        <v>540806</v>
      </c>
      <c r="B1803" s="176" t="s">
        <v>2722</v>
      </c>
      <c r="C1803" s="200" t="s">
        <v>1354</v>
      </c>
      <c r="D1803" s="178" t="s">
        <v>1355</v>
      </c>
      <c r="E1803" s="180">
        <v>55440</v>
      </c>
      <c r="F1803" s="192">
        <v>0</v>
      </c>
    </row>
    <row r="1804" spans="1:6" ht="24">
      <c r="A1804" s="190">
        <v>540806</v>
      </c>
      <c r="B1804" s="176" t="s">
        <v>2722</v>
      </c>
      <c r="C1804" s="200" t="s">
        <v>1356</v>
      </c>
      <c r="D1804" s="178" t="s">
        <v>1357</v>
      </c>
      <c r="E1804" s="180">
        <v>284603</v>
      </c>
      <c r="F1804" s="192">
        <v>0</v>
      </c>
    </row>
    <row r="1805" spans="1:6" ht="24">
      <c r="A1805" s="190">
        <v>540806</v>
      </c>
      <c r="B1805" s="176" t="s">
        <v>2722</v>
      </c>
      <c r="C1805" s="200">
        <v>213013030</v>
      </c>
      <c r="D1805" s="178" t="s">
        <v>1358</v>
      </c>
      <c r="E1805" s="180">
        <v>130842</v>
      </c>
      <c r="F1805" s="192">
        <v>0</v>
      </c>
    </row>
    <row r="1806" spans="1:6" ht="24">
      <c r="A1806" s="190">
        <v>540806</v>
      </c>
      <c r="B1806" s="176" t="s">
        <v>2722</v>
      </c>
      <c r="C1806" s="200" t="s">
        <v>1359</v>
      </c>
      <c r="D1806" s="178" t="s">
        <v>1360</v>
      </c>
      <c r="E1806" s="180">
        <v>95331</v>
      </c>
      <c r="F1806" s="192">
        <v>0</v>
      </c>
    </row>
    <row r="1807" spans="1:6" ht="24">
      <c r="A1807" s="190">
        <v>540806</v>
      </c>
      <c r="B1807" s="176" t="s">
        <v>2722</v>
      </c>
      <c r="C1807" s="200" t="s">
        <v>1361</v>
      </c>
      <c r="D1807" s="178" t="s">
        <v>1362</v>
      </c>
      <c r="E1807" s="180">
        <v>528528</v>
      </c>
      <c r="F1807" s="192">
        <v>0</v>
      </c>
    </row>
    <row r="1808" spans="1:6" ht="24">
      <c r="A1808" s="190">
        <v>540806</v>
      </c>
      <c r="B1808" s="176" t="s">
        <v>2722</v>
      </c>
      <c r="C1808" s="200" t="s">
        <v>1363</v>
      </c>
      <c r="D1808" s="178" t="s">
        <v>1364</v>
      </c>
      <c r="E1808" s="180">
        <v>63762</v>
      </c>
      <c r="F1808" s="192">
        <v>0</v>
      </c>
    </row>
    <row r="1809" spans="1:6" ht="24">
      <c r="A1809" s="190">
        <v>540806</v>
      </c>
      <c r="B1809" s="176" t="s">
        <v>2722</v>
      </c>
      <c r="C1809" s="200">
        <v>217413074</v>
      </c>
      <c r="D1809" s="178" t="s">
        <v>1365</v>
      </c>
      <c r="E1809" s="180">
        <v>225162</v>
      </c>
      <c r="F1809" s="192">
        <v>0</v>
      </c>
    </row>
    <row r="1810" spans="1:6" ht="24">
      <c r="A1810" s="190">
        <v>540806</v>
      </c>
      <c r="B1810" s="176" t="s">
        <v>2722</v>
      </c>
      <c r="C1810" s="200">
        <v>214013140</v>
      </c>
      <c r="D1810" s="178" t="s">
        <v>1366</v>
      </c>
      <c r="E1810" s="180">
        <v>239141</v>
      </c>
      <c r="F1810" s="192">
        <v>0</v>
      </c>
    </row>
    <row r="1811" spans="1:6" ht="24">
      <c r="A1811" s="190">
        <v>540806</v>
      </c>
      <c r="B1811" s="176" t="s">
        <v>2722</v>
      </c>
      <c r="C1811" s="200" t="s">
        <v>1367</v>
      </c>
      <c r="D1811" s="178" t="s">
        <v>1368</v>
      </c>
      <c r="E1811" s="180">
        <v>94429</v>
      </c>
      <c r="F1811" s="192">
        <v>0</v>
      </c>
    </row>
    <row r="1812" spans="1:6" ht="24">
      <c r="A1812" s="190">
        <v>540806</v>
      </c>
      <c r="B1812" s="176" t="s">
        <v>2722</v>
      </c>
      <c r="C1812" s="200" t="s">
        <v>1369</v>
      </c>
      <c r="D1812" s="178" t="s">
        <v>1370</v>
      </c>
      <c r="E1812" s="180">
        <v>135839</v>
      </c>
      <c r="F1812" s="192">
        <v>0</v>
      </c>
    </row>
    <row r="1813" spans="1:6" ht="24">
      <c r="A1813" s="190">
        <v>540806</v>
      </c>
      <c r="B1813" s="176" t="s">
        <v>2722</v>
      </c>
      <c r="C1813" s="200" t="s">
        <v>1371</v>
      </c>
      <c r="D1813" s="178" t="s">
        <v>1001</v>
      </c>
      <c r="E1813" s="180">
        <v>173559</v>
      </c>
      <c r="F1813" s="192">
        <v>0</v>
      </c>
    </row>
    <row r="1814" spans="1:6" ht="24">
      <c r="A1814" s="190">
        <v>540806</v>
      </c>
      <c r="B1814" s="176" t="s">
        <v>2722</v>
      </c>
      <c r="C1814" s="200" t="s">
        <v>1372</v>
      </c>
      <c r="D1814" s="178" t="s">
        <v>1373</v>
      </c>
      <c r="E1814" s="180">
        <v>138938</v>
      </c>
      <c r="F1814" s="192">
        <v>0</v>
      </c>
    </row>
    <row r="1815" spans="1:6" ht="24">
      <c r="A1815" s="190">
        <v>540806</v>
      </c>
      <c r="B1815" s="176" t="s">
        <v>2722</v>
      </c>
      <c r="C1815" s="200" t="s">
        <v>1374</v>
      </c>
      <c r="D1815" s="178" t="s">
        <v>1375</v>
      </c>
      <c r="E1815" s="180">
        <v>644909</v>
      </c>
      <c r="F1815" s="192">
        <v>0</v>
      </c>
    </row>
    <row r="1816" spans="1:6" ht="24">
      <c r="A1816" s="190">
        <v>540806</v>
      </c>
      <c r="B1816" s="176" t="s">
        <v>2722</v>
      </c>
      <c r="C1816" s="200" t="s">
        <v>1376</v>
      </c>
      <c r="D1816" s="178" t="s">
        <v>1377</v>
      </c>
      <c r="E1816" s="180">
        <v>72160</v>
      </c>
      <c r="F1816" s="192">
        <v>0</v>
      </c>
    </row>
    <row r="1817" spans="1:6" ht="24">
      <c r="A1817" s="190">
        <v>540806</v>
      </c>
      <c r="B1817" s="176" t="s">
        <v>2722</v>
      </c>
      <c r="C1817" s="200" t="s">
        <v>1378</v>
      </c>
      <c r="D1817" s="178" t="s">
        <v>1379</v>
      </c>
      <c r="E1817" s="180">
        <v>116330</v>
      </c>
      <c r="F1817" s="192">
        <v>0</v>
      </c>
    </row>
    <row r="1818" spans="1:6" ht="24">
      <c r="A1818" s="190">
        <v>540806</v>
      </c>
      <c r="B1818" s="176" t="s">
        <v>2722</v>
      </c>
      <c r="C1818" s="200" t="s">
        <v>1380</v>
      </c>
      <c r="D1818" s="178" t="s">
        <v>1381</v>
      </c>
      <c r="E1818" s="180">
        <v>153039</v>
      </c>
      <c r="F1818" s="192">
        <v>0</v>
      </c>
    </row>
    <row r="1819" spans="1:6" ht="24">
      <c r="A1819" s="190">
        <v>540806</v>
      </c>
      <c r="B1819" s="176" t="s">
        <v>2722</v>
      </c>
      <c r="C1819" s="200" t="s">
        <v>1382</v>
      </c>
      <c r="D1819" s="178" t="s">
        <v>1383</v>
      </c>
      <c r="E1819" s="180">
        <v>244427</v>
      </c>
      <c r="F1819" s="192">
        <v>0</v>
      </c>
    </row>
    <row r="1820" spans="1:6" ht="24">
      <c r="A1820" s="190">
        <v>540806</v>
      </c>
      <c r="B1820" s="176" t="s">
        <v>2722</v>
      </c>
      <c r="C1820" s="200" t="s">
        <v>1384</v>
      </c>
      <c r="D1820" s="178" t="s">
        <v>1385</v>
      </c>
      <c r="E1820" s="180">
        <v>133910</v>
      </c>
      <c r="F1820" s="192">
        <v>0</v>
      </c>
    </row>
    <row r="1821" spans="1:6" ht="24">
      <c r="A1821" s="190">
        <v>540806</v>
      </c>
      <c r="B1821" s="176" t="s">
        <v>2722</v>
      </c>
      <c r="C1821" s="200" t="s">
        <v>1386</v>
      </c>
      <c r="D1821" s="178" t="s">
        <v>1387</v>
      </c>
      <c r="E1821" s="180">
        <v>561489</v>
      </c>
      <c r="F1821" s="192">
        <v>0</v>
      </c>
    </row>
    <row r="1822" spans="1:6" ht="24">
      <c r="A1822" s="190">
        <v>540806</v>
      </c>
      <c r="B1822" s="176" t="s">
        <v>2722</v>
      </c>
      <c r="C1822" s="200">
        <v>215813458</v>
      </c>
      <c r="D1822" s="178" t="s">
        <v>1388</v>
      </c>
      <c r="E1822" s="180">
        <v>160037</v>
      </c>
      <c r="F1822" s="192">
        <v>0</v>
      </c>
    </row>
    <row r="1823" spans="1:6" ht="24">
      <c r="A1823" s="190">
        <v>540806</v>
      </c>
      <c r="B1823" s="176" t="s">
        <v>2722</v>
      </c>
      <c r="C1823" s="200">
        <v>216813468</v>
      </c>
      <c r="D1823" s="178" t="s">
        <v>1389</v>
      </c>
      <c r="E1823" s="180">
        <v>458539</v>
      </c>
      <c r="F1823" s="192">
        <v>0</v>
      </c>
    </row>
    <row r="1824" spans="1:6" ht="24">
      <c r="A1824" s="190">
        <v>540806</v>
      </c>
      <c r="B1824" s="176" t="s">
        <v>2722</v>
      </c>
      <c r="C1824" s="200" t="s">
        <v>1390</v>
      </c>
      <c r="D1824" s="178" t="s">
        <v>1391</v>
      </c>
      <c r="E1824" s="180">
        <v>218369</v>
      </c>
      <c r="F1824" s="192">
        <v>0</v>
      </c>
    </row>
    <row r="1825" spans="1:6" ht="24">
      <c r="A1825" s="190">
        <v>540806</v>
      </c>
      <c r="B1825" s="176" t="s">
        <v>2722</v>
      </c>
      <c r="C1825" s="200" t="s">
        <v>1392</v>
      </c>
      <c r="D1825" s="178" t="s">
        <v>1393</v>
      </c>
      <c r="E1825" s="180">
        <v>289657</v>
      </c>
      <c r="F1825" s="192">
        <v>0</v>
      </c>
    </row>
    <row r="1826" spans="1:6" ht="24">
      <c r="A1826" s="190">
        <v>540806</v>
      </c>
      <c r="B1826" s="176" t="s">
        <v>2722</v>
      </c>
      <c r="C1826" s="200" t="s">
        <v>1394</v>
      </c>
      <c r="D1826" s="178" t="s">
        <v>1395</v>
      </c>
      <c r="E1826" s="180">
        <v>72469</v>
      </c>
      <c r="F1826" s="192">
        <v>0</v>
      </c>
    </row>
    <row r="1827" spans="1:6" ht="24">
      <c r="A1827" s="190">
        <v>540806</v>
      </c>
      <c r="B1827" s="176" t="s">
        <v>2722</v>
      </c>
      <c r="C1827" s="200">
        <v>210013600</v>
      </c>
      <c r="D1827" s="178" t="s">
        <v>1396</v>
      </c>
      <c r="E1827" s="180">
        <v>175102</v>
      </c>
      <c r="F1827" s="192">
        <v>0</v>
      </c>
    </row>
    <row r="1828" spans="1:6" ht="24">
      <c r="A1828" s="190">
        <v>540806</v>
      </c>
      <c r="B1828" s="176" t="s">
        <v>2722</v>
      </c>
      <c r="C1828" s="200" t="s">
        <v>1397</v>
      </c>
      <c r="D1828" s="178" t="s">
        <v>1398</v>
      </c>
      <c r="E1828" s="180">
        <v>62675</v>
      </c>
      <c r="F1828" s="192">
        <v>0</v>
      </c>
    </row>
    <row r="1829" spans="1:6" ht="24">
      <c r="A1829" s="190">
        <v>540806</v>
      </c>
      <c r="B1829" s="176" t="s">
        <v>2722</v>
      </c>
      <c r="C1829" s="200" t="s">
        <v>1399</v>
      </c>
      <c r="D1829" s="178" t="s">
        <v>1400</v>
      </c>
      <c r="E1829" s="180">
        <v>137348</v>
      </c>
      <c r="F1829" s="192">
        <v>0</v>
      </c>
    </row>
    <row r="1830" spans="1:6" ht="24">
      <c r="A1830" s="190">
        <v>540806</v>
      </c>
      <c r="B1830" s="176" t="s">
        <v>2722</v>
      </c>
      <c r="C1830" s="200" t="s">
        <v>1401</v>
      </c>
      <c r="D1830" s="178" t="s">
        <v>1402</v>
      </c>
      <c r="E1830" s="180">
        <v>121557</v>
      </c>
      <c r="F1830" s="192">
        <v>0</v>
      </c>
    </row>
    <row r="1831" spans="1:6" ht="24">
      <c r="A1831" s="190">
        <v>540806</v>
      </c>
      <c r="B1831" s="176" t="s">
        <v>2722</v>
      </c>
      <c r="C1831" s="200" t="s">
        <v>1403</v>
      </c>
      <c r="D1831" s="178" t="s">
        <v>1404</v>
      </c>
      <c r="E1831" s="180">
        <v>51147</v>
      </c>
      <c r="F1831" s="192">
        <v>0</v>
      </c>
    </row>
    <row r="1832" spans="1:6" ht="24">
      <c r="A1832" s="190">
        <v>540806</v>
      </c>
      <c r="B1832" s="176" t="s">
        <v>2722</v>
      </c>
      <c r="C1832" s="200">
        <v>215513655</v>
      </c>
      <c r="D1832" s="178" t="s">
        <v>1405</v>
      </c>
      <c r="E1832" s="180">
        <v>144838</v>
      </c>
      <c r="F1832" s="192">
        <v>0</v>
      </c>
    </row>
    <row r="1833" spans="1:6" ht="24">
      <c r="A1833" s="190">
        <v>540806</v>
      </c>
      <c r="B1833" s="176" t="s">
        <v>2722</v>
      </c>
      <c r="C1833" s="200">
        <v>215713657</v>
      </c>
      <c r="D1833" s="178" t="s">
        <v>1406</v>
      </c>
      <c r="E1833" s="180">
        <v>355261</v>
      </c>
      <c r="F1833" s="192">
        <v>0</v>
      </c>
    </row>
    <row r="1834" spans="1:6" ht="24">
      <c r="A1834" s="190">
        <v>540806</v>
      </c>
      <c r="B1834" s="176" t="s">
        <v>2722</v>
      </c>
      <c r="C1834" s="200">
        <v>216713667</v>
      </c>
      <c r="D1834" s="178" t="s">
        <v>1407</v>
      </c>
      <c r="E1834" s="180">
        <v>223704</v>
      </c>
      <c r="F1834" s="192">
        <v>0</v>
      </c>
    </row>
    <row r="1835" spans="1:6" ht="24">
      <c r="A1835" s="190">
        <v>540806</v>
      </c>
      <c r="B1835" s="176" t="s">
        <v>2722</v>
      </c>
      <c r="C1835" s="200" t="s">
        <v>1408</v>
      </c>
      <c r="D1835" s="178" t="s">
        <v>1409</v>
      </c>
      <c r="E1835" s="180">
        <v>305832</v>
      </c>
      <c r="F1835" s="192">
        <v>0</v>
      </c>
    </row>
    <row r="1836" spans="1:6" ht="24">
      <c r="A1836" s="190">
        <v>540806</v>
      </c>
      <c r="B1836" s="176" t="s">
        <v>2722</v>
      </c>
      <c r="C1836" s="200" t="s">
        <v>1410</v>
      </c>
      <c r="D1836" s="178" t="s">
        <v>1411</v>
      </c>
      <c r="E1836" s="180">
        <v>131802</v>
      </c>
      <c r="F1836" s="192">
        <v>0</v>
      </c>
    </row>
    <row r="1837" spans="1:6" ht="24">
      <c r="A1837" s="190">
        <v>540806</v>
      </c>
      <c r="B1837" s="176" t="s">
        <v>2722</v>
      </c>
      <c r="C1837" s="200">
        <v>218313683</v>
      </c>
      <c r="D1837" s="178" t="s">
        <v>1412</v>
      </c>
      <c r="E1837" s="180">
        <v>184593</v>
      </c>
      <c r="F1837" s="192">
        <v>0</v>
      </c>
    </row>
    <row r="1838" spans="1:6" ht="24">
      <c r="A1838" s="190">
        <v>540806</v>
      </c>
      <c r="B1838" s="176" t="s">
        <v>2722</v>
      </c>
      <c r="C1838" s="200">
        <v>218813688</v>
      </c>
      <c r="D1838" s="178" t="s">
        <v>1413</v>
      </c>
      <c r="E1838" s="180">
        <v>346542</v>
      </c>
      <c r="F1838" s="192">
        <v>0</v>
      </c>
    </row>
    <row r="1839" spans="1:6" ht="24">
      <c r="A1839" s="190">
        <v>540806</v>
      </c>
      <c r="B1839" s="176" t="s">
        <v>2722</v>
      </c>
      <c r="C1839" s="200" t="s">
        <v>1414</v>
      </c>
      <c r="D1839" s="178" t="s">
        <v>1415</v>
      </c>
      <c r="E1839" s="180">
        <v>236857</v>
      </c>
      <c r="F1839" s="192">
        <v>0</v>
      </c>
    </row>
    <row r="1840" spans="1:6" ht="24">
      <c r="A1840" s="190">
        <v>540806</v>
      </c>
      <c r="B1840" s="176" t="s">
        <v>2722</v>
      </c>
      <c r="C1840" s="200" t="s">
        <v>1416</v>
      </c>
      <c r="D1840" s="178" t="s">
        <v>1417</v>
      </c>
      <c r="E1840" s="180">
        <v>77738</v>
      </c>
      <c r="F1840" s="192">
        <v>0</v>
      </c>
    </row>
    <row r="1841" spans="1:6" ht="24">
      <c r="A1841" s="190">
        <v>540806</v>
      </c>
      <c r="B1841" s="176" t="s">
        <v>2722</v>
      </c>
      <c r="C1841" s="200" t="s">
        <v>1418</v>
      </c>
      <c r="D1841" s="178" t="s">
        <v>1419</v>
      </c>
      <c r="E1841" s="180">
        <v>146285</v>
      </c>
      <c r="F1841" s="192">
        <v>0</v>
      </c>
    </row>
    <row r="1842" spans="1:6" ht="24">
      <c r="A1842" s="190">
        <v>540806</v>
      </c>
      <c r="B1842" s="176" t="s">
        <v>2722</v>
      </c>
      <c r="C1842" s="200" t="s">
        <v>1420</v>
      </c>
      <c r="D1842" s="178" t="s">
        <v>1421</v>
      </c>
      <c r="E1842" s="180">
        <v>225480</v>
      </c>
      <c r="F1842" s="192">
        <v>0</v>
      </c>
    </row>
    <row r="1843" spans="1:6" ht="24">
      <c r="A1843" s="190">
        <v>540806</v>
      </c>
      <c r="B1843" s="176" t="s">
        <v>2722</v>
      </c>
      <c r="C1843" s="200" t="s">
        <v>1422</v>
      </c>
      <c r="D1843" s="178" t="s">
        <v>1423</v>
      </c>
      <c r="E1843" s="180">
        <v>424246</v>
      </c>
      <c r="F1843" s="192">
        <v>0</v>
      </c>
    </row>
    <row r="1844" spans="1:6" ht="24">
      <c r="A1844" s="190">
        <v>540806</v>
      </c>
      <c r="B1844" s="176" t="s">
        <v>2722</v>
      </c>
      <c r="C1844" s="200" t="s">
        <v>1424</v>
      </c>
      <c r="D1844" s="178" t="s">
        <v>1425</v>
      </c>
      <c r="E1844" s="180">
        <v>141528</v>
      </c>
      <c r="F1844" s="192">
        <v>0</v>
      </c>
    </row>
    <row r="1845" spans="1:6" ht="24">
      <c r="A1845" s="190">
        <v>540806</v>
      </c>
      <c r="B1845" s="176" t="s">
        <v>2722</v>
      </c>
      <c r="C1845" s="200" t="s">
        <v>1426</v>
      </c>
      <c r="D1845" s="178" t="s">
        <v>1427</v>
      </c>
      <c r="E1845" s="180">
        <v>178399</v>
      </c>
      <c r="F1845" s="192">
        <v>0</v>
      </c>
    </row>
    <row r="1846" spans="1:6" ht="24">
      <c r="A1846" s="190">
        <v>540806</v>
      </c>
      <c r="B1846" s="176" t="s">
        <v>2722</v>
      </c>
      <c r="C1846" s="200" t="s">
        <v>1428</v>
      </c>
      <c r="D1846" s="178" t="s">
        <v>1429</v>
      </c>
      <c r="E1846" s="180">
        <v>106351</v>
      </c>
      <c r="F1846" s="192">
        <v>0</v>
      </c>
    </row>
    <row r="1847" spans="1:6" ht="24">
      <c r="A1847" s="190">
        <v>540806</v>
      </c>
      <c r="B1847" s="176" t="s">
        <v>2722</v>
      </c>
      <c r="C1847" s="200" t="s">
        <v>1430</v>
      </c>
      <c r="D1847" s="178" t="s">
        <v>1431</v>
      </c>
      <c r="E1847" s="180">
        <v>13201</v>
      </c>
      <c r="F1847" s="192">
        <v>0</v>
      </c>
    </row>
    <row r="1848" spans="1:6" ht="24">
      <c r="A1848" s="190">
        <v>540806</v>
      </c>
      <c r="B1848" s="176" t="s">
        <v>2722</v>
      </c>
      <c r="C1848" s="200" t="s">
        <v>1432</v>
      </c>
      <c r="D1848" s="178" t="s">
        <v>1433</v>
      </c>
      <c r="E1848" s="180">
        <v>116936</v>
      </c>
      <c r="F1848" s="192">
        <v>0</v>
      </c>
    </row>
    <row r="1849" spans="1:6" ht="24">
      <c r="A1849" s="190">
        <v>540806</v>
      </c>
      <c r="B1849" s="176" t="s">
        <v>2722</v>
      </c>
      <c r="C1849" s="200" t="s">
        <v>1434</v>
      </c>
      <c r="D1849" s="178" t="s">
        <v>1435</v>
      </c>
      <c r="E1849" s="180">
        <v>38845</v>
      </c>
      <c r="F1849" s="192">
        <v>0</v>
      </c>
    </row>
    <row r="1850" spans="1:6" ht="24">
      <c r="A1850" s="190">
        <v>540806</v>
      </c>
      <c r="B1850" s="176" t="s">
        <v>2722</v>
      </c>
      <c r="C1850" s="200" t="s">
        <v>1436</v>
      </c>
      <c r="D1850" s="178" t="s">
        <v>1437</v>
      </c>
      <c r="E1850" s="180">
        <v>62855</v>
      </c>
      <c r="F1850" s="192">
        <v>0</v>
      </c>
    </row>
    <row r="1851" spans="1:6" ht="24">
      <c r="A1851" s="190">
        <v>540806</v>
      </c>
      <c r="B1851" s="176" t="s">
        <v>2722</v>
      </c>
      <c r="C1851" s="200" t="s">
        <v>1438</v>
      </c>
      <c r="D1851" s="178" t="s">
        <v>1439</v>
      </c>
      <c r="E1851" s="180">
        <v>14532</v>
      </c>
      <c r="F1851" s="192">
        <v>0</v>
      </c>
    </row>
    <row r="1852" spans="1:6" ht="24">
      <c r="A1852" s="190">
        <v>540806</v>
      </c>
      <c r="B1852" s="176" t="s">
        <v>2722</v>
      </c>
      <c r="C1852" s="200" t="s">
        <v>1440</v>
      </c>
      <c r="D1852" s="178" t="s">
        <v>1441</v>
      </c>
      <c r="E1852" s="180">
        <v>17749</v>
      </c>
      <c r="F1852" s="192">
        <v>0</v>
      </c>
    </row>
    <row r="1853" spans="1:6" ht="24">
      <c r="A1853" s="190">
        <v>540806</v>
      </c>
      <c r="B1853" s="176" t="s">
        <v>2722</v>
      </c>
      <c r="C1853" s="200" t="s">
        <v>1442</v>
      </c>
      <c r="D1853" s="178" t="s">
        <v>1443</v>
      </c>
      <c r="E1853" s="180">
        <v>57711</v>
      </c>
      <c r="F1853" s="192">
        <v>0</v>
      </c>
    </row>
    <row r="1854" spans="1:6" ht="24">
      <c r="A1854" s="190">
        <v>540806</v>
      </c>
      <c r="B1854" s="176" t="s">
        <v>2722</v>
      </c>
      <c r="C1854" s="200" t="s">
        <v>1444</v>
      </c>
      <c r="D1854" s="178" t="s">
        <v>995</v>
      </c>
      <c r="E1854" s="180">
        <v>34366</v>
      </c>
      <c r="F1854" s="192">
        <v>0</v>
      </c>
    </row>
    <row r="1855" spans="1:6" ht="24">
      <c r="A1855" s="190">
        <v>540806</v>
      </c>
      <c r="B1855" s="176" t="s">
        <v>2722</v>
      </c>
      <c r="C1855" s="200" t="s">
        <v>1445</v>
      </c>
      <c r="D1855" s="178" t="s">
        <v>1446</v>
      </c>
      <c r="E1855" s="180">
        <v>20559</v>
      </c>
      <c r="F1855" s="192">
        <v>0</v>
      </c>
    </row>
    <row r="1856" spans="1:6" ht="24">
      <c r="A1856" s="190">
        <v>540806</v>
      </c>
      <c r="B1856" s="176" t="s">
        <v>2722</v>
      </c>
      <c r="C1856" s="200" t="s">
        <v>1447</v>
      </c>
      <c r="D1856" s="178" t="s">
        <v>1448</v>
      </c>
      <c r="E1856" s="180">
        <v>44831</v>
      </c>
      <c r="F1856" s="192">
        <v>0</v>
      </c>
    </row>
    <row r="1857" spans="1:6" ht="24">
      <c r="A1857" s="190">
        <v>540806</v>
      </c>
      <c r="B1857" s="176" t="s">
        <v>2722</v>
      </c>
      <c r="C1857" s="200">
        <v>211415114</v>
      </c>
      <c r="D1857" s="178" t="s">
        <v>1449</v>
      </c>
      <c r="E1857" s="180">
        <v>4027</v>
      </c>
      <c r="F1857" s="192">
        <v>0</v>
      </c>
    </row>
    <row r="1858" spans="1:6" ht="24">
      <c r="A1858" s="190">
        <v>540806</v>
      </c>
      <c r="B1858" s="176" t="s">
        <v>2722</v>
      </c>
      <c r="C1858" s="200" t="s">
        <v>1450</v>
      </c>
      <c r="D1858" s="178" t="s">
        <v>996</v>
      </c>
      <c r="E1858" s="180">
        <v>28097</v>
      </c>
      <c r="F1858" s="192">
        <v>0</v>
      </c>
    </row>
    <row r="1859" spans="1:6" ht="24">
      <c r="A1859" s="190">
        <v>540806</v>
      </c>
      <c r="B1859" s="176" t="s">
        <v>2722</v>
      </c>
      <c r="C1859" s="200" t="s">
        <v>1451</v>
      </c>
      <c r="D1859" s="178" t="s">
        <v>1452</v>
      </c>
      <c r="E1859" s="180">
        <v>26882</v>
      </c>
      <c r="F1859" s="192">
        <v>0</v>
      </c>
    </row>
    <row r="1860" spans="1:6" ht="24">
      <c r="A1860" s="190">
        <v>540806</v>
      </c>
      <c r="B1860" s="176" t="s">
        <v>2722</v>
      </c>
      <c r="C1860" s="200" t="s">
        <v>1453</v>
      </c>
      <c r="D1860" s="178" t="s">
        <v>1454</v>
      </c>
      <c r="E1860" s="180">
        <v>29216</v>
      </c>
      <c r="F1860" s="192">
        <v>0</v>
      </c>
    </row>
    <row r="1861" spans="1:6" ht="24">
      <c r="A1861" s="190">
        <v>540806</v>
      </c>
      <c r="B1861" s="176" t="s">
        <v>2722</v>
      </c>
      <c r="C1861" s="200" t="s">
        <v>1455</v>
      </c>
      <c r="D1861" s="178" t="s">
        <v>1456</v>
      </c>
      <c r="E1861" s="180">
        <v>25886</v>
      </c>
      <c r="F1861" s="192">
        <v>0</v>
      </c>
    </row>
    <row r="1862" spans="1:6" ht="24">
      <c r="A1862" s="190">
        <v>540806</v>
      </c>
      <c r="B1862" s="176" t="s">
        <v>2722</v>
      </c>
      <c r="C1862" s="200" t="s">
        <v>1457</v>
      </c>
      <c r="D1862" s="178" t="s">
        <v>1458</v>
      </c>
      <c r="E1862" s="180">
        <v>400541</v>
      </c>
      <c r="F1862" s="192">
        <v>0</v>
      </c>
    </row>
    <row r="1863" spans="1:6" ht="24">
      <c r="A1863" s="190">
        <v>540806</v>
      </c>
      <c r="B1863" s="176" t="s">
        <v>2722</v>
      </c>
      <c r="C1863" s="200" t="s">
        <v>1459</v>
      </c>
      <c r="D1863" s="178" t="s">
        <v>1460</v>
      </c>
      <c r="E1863" s="180">
        <v>41010</v>
      </c>
      <c r="F1863" s="192">
        <v>0</v>
      </c>
    </row>
    <row r="1864" spans="1:6" ht="24">
      <c r="A1864" s="190">
        <v>540806</v>
      </c>
      <c r="B1864" s="176" t="s">
        <v>2722</v>
      </c>
      <c r="C1864" s="200" t="s">
        <v>1461</v>
      </c>
      <c r="D1864" s="178" t="s">
        <v>1462</v>
      </c>
      <c r="E1864" s="180">
        <v>98817</v>
      </c>
      <c r="F1864" s="192">
        <v>0</v>
      </c>
    </row>
    <row r="1865" spans="1:6" ht="24">
      <c r="A1865" s="190">
        <v>540806</v>
      </c>
      <c r="B1865" s="176" t="s">
        <v>2722</v>
      </c>
      <c r="C1865" s="200" t="s">
        <v>1463</v>
      </c>
      <c r="D1865" s="178" t="s">
        <v>1464</v>
      </c>
      <c r="E1865" s="180">
        <v>57278</v>
      </c>
      <c r="F1865" s="192">
        <v>0</v>
      </c>
    </row>
    <row r="1866" spans="1:6" ht="24">
      <c r="A1866" s="190">
        <v>540806</v>
      </c>
      <c r="B1866" s="176" t="s">
        <v>2722</v>
      </c>
      <c r="C1866" s="200" t="s">
        <v>1465</v>
      </c>
      <c r="D1866" s="178" t="s">
        <v>1466</v>
      </c>
      <c r="E1866" s="180">
        <v>21255</v>
      </c>
      <c r="F1866" s="192">
        <v>0</v>
      </c>
    </row>
    <row r="1867" spans="1:6" ht="24">
      <c r="A1867" s="190">
        <v>540806</v>
      </c>
      <c r="B1867" s="176" t="s">
        <v>2722</v>
      </c>
      <c r="C1867" s="200">
        <v>218915189</v>
      </c>
      <c r="D1867" s="178" t="s">
        <v>1068</v>
      </c>
      <c r="E1867" s="180">
        <v>32155</v>
      </c>
      <c r="F1867" s="192">
        <v>0</v>
      </c>
    </row>
    <row r="1868" spans="1:6" ht="24">
      <c r="A1868" s="190">
        <v>540806</v>
      </c>
      <c r="B1868" s="176" t="s">
        <v>2722</v>
      </c>
      <c r="C1868" s="200" t="s">
        <v>1467</v>
      </c>
      <c r="D1868" s="178" t="s">
        <v>1468</v>
      </c>
      <c r="E1868" s="180">
        <v>60977</v>
      </c>
      <c r="F1868" s="192">
        <v>0</v>
      </c>
    </row>
    <row r="1869" spans="1:6" ht="24">
      <c r="A1869" s="190">
        <v>540806</v>
      </c>
      <c r="B1869" s="176" t="s">
        <v>2722</v>
      </c>
      <c r="C1869" s="200" t="s">
        <v>1469</v>
      </c>
      <c r="D1869" s="178" t="s">
        <v>1470</v>
      </c>
      <c r="E1869" s="180">
        <v>31106</v>
      </c>
      <c r="F1869" s="192">
        <v>0</v>
      </c>
    </row>
    <row r="1870" spans="1:6" ht="24">
      <c r="A1870" s="190">
        <v>540806</v>
      </c>
      <c r="B1870" s="176" t="s">
        <v>2722</v>
      </c>
      <c r="C1870" s="200" t="s">
        <v>1471</v>
      </c>
      <c r="D1870" s="178" t="s">
        <v>1472</v>
      </c>
      <c r="E1870" s="180">
        <v>17016</v>
      </c>
      <c r="F1870" s="192">
        <v>0</v>
      </c>
    </row>
    <row r="1871" spans="1:6" ht="24">
      <c r="A1871" s="190">
        <v>540806</v>
      </c>
      <c r="B1871" s="176" t="s">
        <v>2722</v>
      </c>
      <c r="C1871" s="200" t="s">
        <v>1473</v>
      </c>
      <c r="D1871" s="178" t="s">
        <v>1474</v>
      </c>
      <c r="E1871" s="180">
        <v>29191</v>
      </c>
      <c r="F1871" s="192">
        <v>0</v>
      </c>
    </row>
    <row r="1872" spans="1:6" ht="24">
      <c r="A1872" s="190">
        <v>540806</v>
      </c>
      <c r="B1872" s="176" t="s">
        <v>2722</v>
      </c>
      <c r="C1872" s="200" t="s">
        <v>1475</v>
      </c>
      <c r="D1872" s="178" t="s">
        <v>1476</v>
      </c>
      <c r="E1872" s="180">
        <v>53546</v>
      </c>
      <c r="F1872" s="192">
        <v>0</v>
      </c>
    </row>
    <row r="1873" spans="1:6" ht="24">
      <c r="A1873" s="190">
        <v>540806</v>
      </c>
      <c r="B1873" s="176" t="s">
        <v>2722</v>
      </c>
      <c r="C1873" s="200" t="s">
        <v>1477</v>
      </c>
      <c r="D1873" s="178" t="s">
        <v>1478</v>
      </c>
      <c r="E1873" s="180">
        <v>32276</v>
      </c>
      <c r="F1873" s="192">
        <v>0</v>
      </c>
    </row>
    <row r="1874" spans="1:6" ht="24">
      <c r="A1874" s="190">
        <v>540806</v>
      </c>
      <c r="B1874" s="176" t="s">
        <v>2722</v>
      </c>
      <c r="C1874" s="200" t="s">
        <v>1479</v>
      </c>
      <c r="D1874" s="178" t="s">
        <v>1480</v>
      </c>
      <c r="E1874" s="180">
        <v>13957</v>
      </c>
      <c r="F1874" s="192">
        <v>0</v>
      </c>
    </row>
    <row r="1875" spans="1:6" ht="24">
      <c r="A1875" s="190">
        <v>540806</v>
      </c>
      <c r="B1875" s="176" t="s">
        <v>2722</v>
      </c>
      <c r="C1875" s="200">
        <v>213215232</v>
      </c>
      <c r="D1875" s="178" t="s">
        <v>1481</v>
      </c>
      <c r="E1875" s="180">
        <v>44279</v>
      </c>
      <c r="F1875" s="192">
        <v>0</v>
      </c>
    </row>
    <row r="1876" spans="1:6" ht="24">
      <c r="A1876" s="190">
        <v>540806</v>
      </c>
      <c r="B1876" s="176" t="s">
        <v>2722</v>
      </c>
      <c r="C1876" s="200" t="s">
        <v>1482</v>
      </c>
      <c r="D1876" s="178" t="s">
        <v>1483</v>
      </c>
      <c r="E1876" s="180">
        <v>14564</v>
      </c>
      <c r="F1876" s="192">
        <v>0</v>
      </c>
    </row>
    <row r="1877" spans="1:6" ht="24">
      <c r="A1877" s="190">
        <v>540806</v>
      </c>
      <c r="B1877" s="176" t="s">
        <v>2722</v>
      </c>
      <c r="C1877" s="200" t="s">
        <v>1484</v>
      </c>
      <c r="D1877" s="178" t="s">
        <v>1485</v>
      </c>
      <c r="E1877" s="180">
        <v>40621</v>
      </c>
      <c r="F1877" s="192">
        <v>0</v>
      </c>
    </row>
    <row r="1878" spans="1:6" ht="24">
      <c r="A1878" s="190">
        <v>540806</v>
      </c>
      <c r="B1878" s="176" t="s">
        <v>2722</v>
      </c>
      <c r="C1878" s="200" t="s">
        <v>1486</v>
      </c>
      <c r="D1878" s="178" t="s">
        <v>1487</v>
      </c>
      <c r="E1878" s="180">
        <v>21225</v>
      </c>
      <c r="F1878" s="192">
        <v>0</v>
      </c>
    </row>
    <row r="1879" spans="1:6" ht="24">
      <c r="A1879" s="190">
        <v>540806</v>
      </c>
      <c r="B1879" s="176" t="s">
        <v>2722</v>
      </c>
      <c r="C1879" s="200" t="s">
        <v>1488</v>
      </c>
      <c r="D1879" s="178" t="s">
        <v>1489</v>
      </c>
      <c r="E1879" s="180">
        <v>35907</v>
      </c>
      <c r="F1879" s="192">
        <v>0</v>
      </c>
    </row>
    <row r="1880" spans="1:6" ht="24">
      <c r="A1880" s="190">
        <v>540806</v>
      </c>
      <c r="B1880" s="176" t="s">
        <v>2722</v>
      </c>
      <c r="C1880" s="200" t="s">
        <v>1490</v>
      </c>
      <c r="D1880" s="178" t="s">
        <v>1491</v>
      </c>
      <c r="E1880" s="180">
        <v>26917</v>
      </c>
      <c r="F1880" s="192">
        <v>0</v>
      </c>
    </row>
    <row r="1881" spans="1:6" ht="24">
      <c r="A1881" s="190">
        <v>540806</v>
      </c>
      <c r="B1881" s="176" t="s">
        <v>2722</v>
      </c>
      <c r="C1881" s="200" t="s">
        <v>1492</v>
      </c>
      <c r="D1881" s="178" t="s">
        <v>1493</v>
      </c>
      <c r="E1881" s="180">
        <v>22558</v>
      </c>
      <c r="F1881" s="192">
        <v>0</v>
      </c>
    </row>
    <row r="1882" spans="1:6" ht="24">
      <c r="A1882" s="190">
        <v>540806</v>
      </c>
      <c r="B1882" s="176" t="s">
        <v>2722</v>
      </c>
      <c r="C1882" s="200" t="s">
        <v>1494</v>
      </c>
      <c r="D1882" s="178" t="s">
        <v>1495</v>
      </c>
      <c r="E1882" s="180">
        <v>34305</v>
      </c>
      <c r="F1882" s="192">
        <v>0</v>
      </c>
    </row>
    <row r="1883" spans="1:6" ht="24">
      <c r="A1883" s="190">
        <v>540806</v>
      </c>
      <c r="B1883" s="176" t="s">
        <v>2722</v>
      </c>
      <c r="C1883" s="200" t="s">
        <v>1496</v>
      </c>
      <c r="D1883" s="178" t="s">
        <v>1497</v>
      </c>
      <c r="E1883" s="180">
        <v>120071</v>
      </c>
      <c r="F1883" s="192">
        <v>0</v>
      </c>
    </row>
    <row r="1884" spans="1:6" ht="24">
      <c r="A1884" s="190">
        <v>540806</v>
      </c>
      <c r="B1884" s="176" t="s">
        <v>2722</v>
      </c>
      <c r="C1884" s="200" t="s">
        <v>1498</v>
      </c>
      <c r="D1884" s="178" t="s">
        <v>1499</v>
      </c>
      <c r="E1884" s="180">
        <v>14442</v>
      </c>
      <c r="F1884" s="192">
        <v>0</v>
      </c>
    </row>
    <row r="1885" spans="1:6" ht="24">
      <c r="A1885" s="190">
        <v>540806</v>
      </c>
      <c r="B1885" s="176" t="s">
        <v>2722</v>
      </c>
      <c r="C1885" s="200" t="s">
        <v>1500</v>
      </c>
      <c r="D1885" s="178" t="s">
        <v>1501</v>
      </c>
      <c r="E1885" s="180">
        <v>77322</v>
      </c>
      <c r="F1885" s="192">
        <v>0</v>
      </c>
    </row>
    <row r="1886" spans="1:6" ht="24">
      <c r="A1886" s="190">
        <v>540806</v>
      </c>
      <c r="B1886" s="176" t="s">
        <v>2722</v>
      </c>
      <c r="C1886" s="200" t="s">
        <v>1502</v>
      </c>
      <c r="D1886" s="178" t="s">
        <v>1503</v>
      </c>
      <c r="E1886" s="180">
        <v>26643</v>
      </c>
      <c r="F1886" s="192">
        <v>0</v>
      </c>
    </row>
    <row r="1887" spans="1:6" ht="24">
      <c r="A1887" s="190">
        <v>540806</v>
      </c>
      <c r="B1887" s="176" t="s">
        <v>2722</v>
      </c>
      <c r="C1887" s="200">
        <v>213215332</v>
      </c>
      <c r="D1887" s="178" t="s">
        <v>1504</v>
      </c>
      <c r="E1887" s="180">
        <v>28683</v>
      </c>
      <c r="F1887" s="192">
        <v>0</v>
      </c>
    </row>
    <row r="1888" spans="1:6" ht="24">
      <c r="A1888" s="190">
        <v>540806</v>
      </c>
      <c r="B1888" s="176" t="s">
        <v>2722</v>
      </c>
      <c r="C1888" s="200" t="s">
        <v>1505</v>
      </c>
      <c r="D1888" s="178" t="s">
        <v>1506</v>
      </c>
      <c r="E1888" s="180">
        <v>14472</v>
      </c>
      <c r="F1888" s="192">
        <v>0</v>
      </c>
    </row>
    <row r="1889" spans="1:6" ht="24">
      <c r="A1889" s="190">
        <v>540806</v>
      </c>
      <c r="B1889" s="176" t="s">
        <v>2722</v>
      </c>
      <c r="C1889" s="200" t="s">
        <v>1507</v>
      </c>
      <c r="D1889" s="178" t="s">
        <v>1508</v>
      </c>
      <c r="E1889" s="180">
        <v>46446</v>
      </c>
      <c r="F1889" s="192">
        <v>0</v>
      </c>
    </row>
    <row r="1890" spans="1:6" ht="24">
      <c r="A1890" s="190">
        <v>540806</v>
      </c>
      <c r="B1890" s="176" t="s">
        <v>2722</v>
      </c>
      <c r="C1890" s="200" t="s">
        <v>1509</v>
      </c>
      <c r="D1890" s="178" t="s">
        <v>1195</v>
      </c>
      <c r="E1890" s="180">
        <v>37563</v>
      </c>
      <c r="F1890" s="192">
        <v>0</v>
      </c>
    </row>
    <row r="1891" spans="1:6" ht="24">
      <c r="A1891" s="190">
        <v>540806</v>
      </c>
      <c r="B1891" s="176" t="s">
        <v>2722</v>
      </c>
      <c r="C1891" s="200" t="s">
        <v>1510</v>
      </c>
      <c r="D1891" s="178" t="s">
        <v>1511</v>
      </c>
      <c r="E1891" s="180">
        <v>36745</v>
      </c>
      <c r="F1891" s="192">
        <v>0</v>
      </c>
    </row>
    <row r="1892" spans="1:6" ht="24">
      <c r="A1892" s="190">
        <v>540806</v>
      </c>
      <c r="B1892" s="176" t="s">
        <v>2722</v>
      </c>
      <c r="C1892" s="200" t="s">
        <v>1512</v>
      </c>
      <c r="D1892" s="178" t="s">
        <v>1513</v>
      </c>
      <c r="E1892" s="180">
        <v>17167</v>
      </c>
      <c r="F1892" s="192">
        <v>0</v>
      </c>
    </row>
    <row r="1893" spans="1:6" ht="24">
      <c r="A1893" s="190">
        <v>540806</v>
      </c>
      <c r="B1893" s="176" t="s">
        <v>2722</v>
      </c>
      <c r="C1893" s="200" t="s">
        <v>1514</v>
      </c>
      <c r="D1893" s="178" t="s">
        <v>1515</v>
      </c>
      <c r="E1893" s="180">
        <v>11632</v>
      </c>
      <c r="F1893" s="192">
        <v>0</v>
      </c>
    </row>
    <row r="1894" spans="1:6" ht="24">
      <c r="A1894" s="190">
        <v>540806</v>
      </c>
      <c r="B1894" s="176" t="s">
        <v>2722</v>
      </c>
      <c r="C1894" s="200" t="s">
        <v>1516</v>
      </c>
      <c r="D1894" s="178" t="s">
        <v>1517</v>
      </c>
      <c r="E1894" s="180">
        <v>25525</v>
      </c>
      <c r="F1894" s="192">
        <v>0</v>
      </c>
    </row>
    <row r="1895" spans="1:6" ht="24">
      <c r="A1895" s="190">
        <v>540806</v>
      </c>
      <c r="B1895" s="176" t="s">
        <v>2722</v>
      </c>
      <c r="C1895" s="200" t="s">
        <v>1518</v>
      </c>
      <c r="D1895" s="178" t="s">
        <v>1519</v>
      </c>
      <c r="E1895" s="180">
        <v>78234</v>
      </c>
      <c r="F1895" s="192">
        <v>0</v>
      </c>
    </row>
    <row r="1896" spans="1:6" ht="24">
      <c r="A1896" s="190">
        <v>540806</v>
      </c>
      <c r="B1896" s="176" t="s">
        <v>2722</v>
      </c>
      <c r="C1896" s="200" t="s">
        <v>1520</v>
      </c>
      <c r="D1896" s="178" t="s">
        <v>1521</v>
      </c>
      <c r="E1896" s="180">
        <v>33608</v>
      </c>
      <c r="F1896" s="192">
        <v>0</v>
      </c>
    </row>
    <row r="1897" spans="1:6" ht="24">
      <c r="A1897" s="190">
        <v>540806</v>
      </c>
      <c r="B1897" s="176" t="s">
        <v>2722</v>
      </c>
      <c r="C1897" s="200" t="s">
        <v>1522</v>
      </c>
      <c r="D1897" s="178" t="s">
        <v>1523</v>
      </c>
      <c r="E1897" s="180">
        <v>70904</v>
      </c>
      <c r="F1897" s="192">
        <v>0</v>
      </c>
    </row>
    <row r="1898" spans="1:6" ht="24">
      <c r="A1898" s="190">
        <v>540806</v>
      </c>
      <c r="B1898" s="176" t="s">
        <v>2722</v>
      </c>
      <c r="C1898" s="200" t="s">
        <v>1524</v>
      </c>
      <c r="D1898" s="178" t="s">
        <v>1525</v>
      </c>
      <c r="E1898" s="180">
        <v>65124</v>
      </c>
      <c r="F1898" s="192">
        <v>0</v>
      </c>
    </row>
    <row r="1899" spans="1:6" ht="24">
      <c r="A1899" s="190">
        <v>540806</v>
      </c>
      <c r="B1899" s="176" t="s">
        <v>2722</v>
      </c>
      <c r="C1899" s="200" t="s">
        <v>1526</v>
      </c>
      <c r="D1899" s="178" t="s">
        <v>1527</v>
      </c>
      <c r="E1899" s="180">
        <v>37878</v>
      </c>
      <c r="F1899" s="192">
        <v>0</v>
      </c>
    </row>
    <row r="1900" spans="1:6" ht="24">
      <c r="A1900" s="190">
        <v>540806</v>
      </c>
      <c r="B1900" s="176" t="s">
        <v>2722</v>
      </c>
      <c r="C1900" s="200" t="s">
        <v>1528</v>
      </c>
      <c r="D1900" s="178" t="s">
        <v>1529</v>
      </c>
      <c r="E1900" s="180">
        <v>41508</v>
      </c>
      <c r="F1900" s="192">
        <v>0</v>
      </c>
    </row>
    <row r="1901" spans="1:6" ht="24">
      <c r="A1901" s="190">
        <v>540806</v>
      </c>
      <c r="B1901" s="176" t="s">
        <v>2722</v>
      </c>
      <c r="C1901" s="200" t="s">
        <v>1530</v>
      </c>
      <c r="D1901" s="178" t="s">
        <v>1531</v>
      </c>
      <c r="E1901" s="180">
        <v>167644</v>
      </c>
      <c r="F1901" s="192">
        <v>0</v>
      </c>
    </row>
    <row r="1902" spans="1:6" ht="24">
      <c r="A1902" s="190">
        <v>540806</v>
      </c>
      <c r="B1902" s="176" t="s">
        <v>2722</v>
      </c>
      <c r="C1902" s="200">
        <v>217615476</v>
      </c>
      <c r="D1902" s="178" t="s">
        <v>1532</v>
      </c>
      <c r="E1902" s="180">
        <v>40329</v>
      </c>
      <c r="F1902" s="192">
        <v>0</v>
      </c>
    </row>
    <row r="1903" spans="1:6" ht="24">
      <c r="A1903" s="190">
        <v>540806</v>
      </c>
      <c r="B1903" s="176" t="s">
        <v>2722</v>
      </c>
      <c r="C1903" s="200" t="s">
        <v>1533</v>
      </c>
      <c r="D1903" s="178" t="s">
        <v>1534</v>
      </c>
      <c r="E1903" s="180">
        <v>81721</v>
      </c>
      <c r="F1903" s="192">
        <v>0</v>
      </c>
    </row>
    <row r="1904" spans="1:6" ht="24">
      <c r="A1904" s="190">
        <v>540806</v>
      </c>
      <c r="B1904" s="176" t="s">
        <v>2722</v>
      </c>
      <c r="C1904" s="200" t="s">
        <v>1535</v>
      </c>
      <c r="D1904" s="178" t="s">
        <v>1536</v>
      </c>
      <c r="E1904" s="180">
        <v>90941</v>
      </c>
      <c r="F1904" s="192">
        <v>0</v>
      </c>
    </row>
    <row r="1905" spans="1:6" ht="24">
      <c r="A1905" s="190">
        <v>540806</v>
      </c>
      <c r="B1905" s="176" t="s">
        <v>2722</v>
      </c>
      <c r="C1905" s="200" t="s">
        <v>1537</v>
      </c>
      <c r="D1905" s="178" t="s">
        <v>1538</v>
      </c>
      <c r="E1905" s="180">
        <v>35242</v>
      </c>
      <c r="F1905" s="192">
        <v>0</v>
      </c>
    </row>
    <row r="1906" spans="1:6" ht="24">
      <c r="A1906" s="190">
        <v>540806</v>
      </c>
      <c r="B1906" s="176" t="s">
        <v>2722</v>
      </c>
      <c r="C1906" s="200" t="s">
        <v>1539</v>
      </c>
      <c r="D1906" s="178" t="s">
        <v>1540</v>
      </c>
      <c r="E1906" s="180">
        <v>19983</v>
      </c>
      <c r="F1906" s="192">
        <v>0</v>
      </c>
    </row>
    <row r="1907" spans="1:6" ht="24">
      <c r="A1907" s="190">
        <v>540806</v>
      </c>
      <c r="B1907" s="176" t="s">
        <v>2722</v>
      </c>
      <c r="C1907" s="200" t="s">
        <v>1541</v>
      </c>
      <c r="D1907" s="178" t="s">
        <v>1542</v>
      </c>
      <c r="E1907" s="180">
        <v>80762</v>
      </c>
      <c r="F1907" s="192">
        <v>0</v>
      </c>
    </row>
    <row r="1908" spans="1:6" ht="24">
      <c r="A1908" s="190">
        <v>540806</v>
      </c>
      <c r="B1908" s="176" t="s">
        <v>2722</v>
      </c>
      <c r="C1908" s="200" t="s">
        <v>1543</v>
      </c>
      <c r="D1908" s="178" t="s">
        <v>1544</v>
      </c>
      <c r="E1908" s="180">
        <v>14231</v>
      </c>
      <c r="F1908" s="192">
        <v>0</v>
      </c>
    </row>
    <row r="1909" spans="1:6" ht="24">
      <c r="A1909" s="190">
        <v>540806</v>
      </c>
      <c r="B1909" s="176" t="s">
        <v>2722</v>
      </c>
      <c r="C1909" s="200">
        <v>211415514</v>
      </c>
      <c r="D1909" s="178" t="s">
        <v>1545</v>
      </c>
      <c r="E1909" s="180">
        <v>24586</v>
      </c>
      <c r="F1909" s="192">
        <v>0</v>
      </c>
    </row>
    <row r="1910" spans="1:6" ht="24">
      <c r="A1910" s="190">
        <v>540806</v>
      </c>
      <c r="B1910" s="176" t="s">
        <v>2722</v>
      </c>
      <c r="C1910" s="200" t="s">
        <v>1546</v>
      </c>
      <c r="D1910" s="178" t="s">
        <v>1547</v>
      </c>
      <c r="E1910" s="180">
        <v>196453</v>
      </c>
      <c r="F1910" s="192">
        <v>0</v>
      </c>
    </row>
    <row r="1911" spans="1:6" ht="24">
      <c r="A1911" s="190">
        <v>540806</v>
      </c>
      <c r="B1911" s="176" t="s">
        <v>2722</v>
      </c>
      <c r="C1911" s="200" t="s">
        <v>1548</v>
      </c>
      <c r="D1911" s="178" t="s">
        <v>1549</v>
      </c>
      <c r="E1911" s="180">
        <v>18621</v>
      </c>
      <c r="F1911" s="192">
        <v>0</v>
      </c>
    </row>
    <row r="1912" spans="1:6" ht="24">
      <c r="A1912" s="190">
        <v>540806</v>
      </c>
      <c r="B1912" s="176" t="s">
        <v>2722</v>
      </c>
      <c r="C1912" s="200">
        <v>212215522</v>
      </c>
      <c r="D1912" s="178" t="s">
        <v>1550</v>
      </c>
      <c r="E1912" s="180">
        <v>16260</v>
      </c>
      <c r="F1912" s="192">
        <v>0</v>
      </c>
    </row>
    <row r="1913" spans="1:6" ht="24">
      <c r="A1913" s="190">
        <v>540806</v>
      </c>
      <c r="B1913" s="176" t="s">
        <v>2722</v>
      </c>
      <c r="C1913" s="200" t="s">
        <v>1551</v>
      </c>
      <c r="D1913" s="178" t="s">
        <v>1552</v>
      </c>
      <c r="E1913" s="180">
        <v>72002</v>
      </c>
      <c r="F1913" s="192">
        <v>0</v>
      </c>
    </row>
    <row r="1914" spans="1:6" ht="24">
      <c r="A1914" s="190">
        <v>540806</v>
      </c>
      <c r="B1914" s="176" t="s">
        <v>2722</v>
      </c>
      <c r="C1914" s="200" t="s">
        <v>1553</v>
      </c>
      <c r="D1914" s="178" t="s">
        <v>1554</v>
      </c>
      <c r="E1914" s="180">
        <v>23653</v>
      </c>
      <c r="F1914" s="192">
        <v>0</v>
      </c>
    </row>
    <row r="1915" spans="1:6" ht="24">
      <c r="A1915" s="190">
        <v>540806</v>
      </c>
      <c r="B1915" s="176" t="s">
        <v>2722</v>
      </c>
      <c r="C1915" s="200" t="s">
        <v>1555</v>
      </c>
      <c r="D1915" s="178" t="s">
        <v>1556</v>
      </c>
      <c r="E1915" s="180">
        <v>36603</v>
      </c>
      <c r="F1915" s="192">
        <v>0</v>
      </c>
    </row>
    <row r="1916" spans="1:6" ht="24">
      <c r="A1916" s="190">
        <v>540806</v>
      </c>
      <c r="B1916" s="176" t="s">
        <v>2722</v>
      </c>
      <c r="C1916" s="200" t="s">
        <v>1557</v>
      </c>
      <c r="D1916" s="178" t="s">
        <v>1558</v>
      </c>
      <c r="E1916" s="180">
        <v>58861</v>
      </c>
      <c r="F1916" s="192">
        <v>0</v>
      </c>
    </row>
    <row r="1917" spans="1:6" ht="24">
      <c r="A1917" s="190">
        <v>540806</v>
      </c>
      <c r="B1917" s="176" t="s">
        <v>2722</v>
      </c>
      <c r="C1917" s="200" t="s">
        <v>1559</v>
      </c>
      <c r="D1917" s="178" t="s">
        <v>1560</v>
      </c>
      <c r="E1917" s="180">
        <v>14235</v>
      </c>
      <c r="F1917" s="192">
        <v>0</v>
      </c>
    </row>
    <row r="1918" spans="1:6" ht="24">
      <c r="A1918" s="190">
        <v>540806</v>
      </c>
      <c r="B1918" s="176" t="s">
        <v>2722</v>
      </c>
      <c r="C1918" s="200" t="s">
        <v>1561</v>
      </c>
      <c r="D1918" s="178" t="s">
        <v>1562</v>
      </c>
      <c r="E1918" s="180">
        <v>340008</v>
      </c>
      <c r="F1918" s="192">
        <v>0</v>
      </c>
    </row>
    <row r="1919" spans="1:6" ht="24">
      <c r="A1919" s="190">
        <v>540806</v>
      </c>
      <c r="B1919" s="176" t="s">
        <v>2722</v>
      </c>
      <c r="C1919" s="200">
        <v>218015580</v>
      </c>
      <c r="D1919" s="178" t="s">
        <v>1563</v>
      </c>
      <c r="E1919" s="180">
        <v>57094</v>
      </c>
      <c r="F1919" s="192">
        <v>0</v>
      </c>
    </row>
    <row r="1920" spans="1:6" ht="24">
      <c r="A1920" s="190">
        <v>540806</v>
      </c>
      <c r="B1920" s="176" t="s">
        <v>2722</v>
      </c>
      <c r="C1920" s="200" t="s">
        <v>1564</v>
      </c>
      <c r="D1920" s="178" t="s">
        <v>1565</v>
      </c>
      <c r="E1920" s="180">
        <v>74000</v>
      </c>
      <c r="F1920" s="192">
        <v>0</v>
      </c>
    </row>
    <row r="1921" spans="1:6" ht="24">
      <c r="A1921" s="190">
        <v>540806</v>
      </c>
      <c r="B1921" s="176" t="s">
        <v>2722</v>
      </c>
      <c r="C1921" s="200">
        <v>210015600</v>
      </c>
      <c r="D1921" s="178" t="s">
        <v>1566</v>
      </c>
      <c r="E1921" s="180">
        <v>43840</v>
      </c>
      <c r="F1921" s="192">
        <v>0</v>
      </c>
    </row>
    <row r="1922" spans="1:6" ht="24">
      <c r="A1922" s="190">
        <v>540806</v>
      </c>
      <c r="B1922" s="176" t="s">
        <v>2722</v>
      </c>
      <c r="C1922" s="200" t="s">
        <v>1567</v>
      </c>
      <c r="D1922" s="178" t="s">
        <v>1568</v>
      </c>
      <c r="E1922" s="180">
        <v>18621</v>
      </c>
      <c r="F1922" s="192">
        <v>0</v>
      </c>
    </row>
    <row r="1923" spans="1:6" ht="24">
      <c r="A1923" s="190">
        <v>540806</v>
      </c>
      <c r="B1923" s="176" t="s">
        <v>2722</v>
      </c>
      <c r="C1923" s="200" t="s">
        <v>1569</v>
      </c>
      <c r="D1923" s="178" t="s">
        <v>1570</v>
      </c>
      <c r="E1923" s="180">
        <v>110884</v>
      </c>
      <c r="F1923" s="192">
        <v>0</v>
      </c>
    </row>
    <row r="1924" spans="1:6" ht="24">
      <c r="A1924" s="190">
        <v>540806</v>
      </c>
      <c r="B1924" s="176" t="s">
        <v>2722</v>
      </c>
      <c r="C1924" s="200" t="s">
        <v>1571</v>
      </c>
      <c r="D1924" s="178" t="s">
        <v>1572</v>
      </c>
      <c r="E1924" s="180">
        <v>26463</v>
      </c>
      <c r="F1924" s="192">
        <v>0</v>
      </c>
    </row>
    <row r="1925" spans="1:6" ht="24">
      <c r="A1925" s="190">
        <v>540806</v>
      </c>
      <c r="B1925" s="176" t="s">
        <v>2722</v>
      </c>
      <c r="C1925" s="200" t="s">
        <v>1573</v>
      </c>
      <c r="D1925" s="178" t="s">
        <v>1574</v>
      </c>
      <c r="E1925" s="180">
        <v>122167</v>
      </c>
      <c r="F1925" s="192">
        <v>0</v>
      </c>
    </row>
    <row r="1926" spans="1:6" ht="24">
      <c r="A1926" s="190">
        <v>540806</v>
      </c>
      <c r="B1926" s="176" t="s">
        <v>2722</v>
      </c>
      <c r="C1926" s="200" t="s">
        <v>1575</v>
      </c>
      <c r="D1926" s="178" t="s">
        <v>1576</v>
      </c>
      <c r="E1926" s="180">
        <v>15866</v>
      </c>
      <c r="F1926" s="192">
        <v>0</v>
      </c>
    </row>
    <row r="1927" spans="1:6" ht="24">
      <c r="A1927" s="190">
        <v>540806</v>
      </c>
      <c r="B1927" s="176" t="s">
        <v>2722</v>
      </c>
      <c r="C1927" s="200" t="s">
        <v>1577</v>
      </c>
      <c r="D1927" s="178" t="s">
        <v>1578</v>
      </c>
      <c r="E1927" s="180">
        <v>41570</v>
      </c>
      <c r="F1927" s="192">
        <v>0</v>
      </c>
    </row>
    <row r="1928" spans="1:6" ht="24">
      <c r="A1928" s="190">
        <v>540806</v>
      </c>
      <c r="B1928" s="176" t="s">
        <v>2722</v>
      </c>
      <c r="C1928" s="200" t="s">
        <v>1579</v>
      </c>
      <c r="D1928" s="178" t="s">
        <v>1580</v>
      </c>
      <c r="E1928" s="180">
        <v>42784</v>
      </c>
      <c r="F1928" s="192">
        <v>0</v>
      </c>
    </row>
    <row r="1929" spans="1:6" ht="24">
      <c r="A1929" s="190">
        <v>540806</v>
      </c>
      <c r="B1929" s="176" t="s">
        <v>2722</v>
      </c>
      <c r="C1929" s="200" t="s">
        <v>1581</v>
      </c>
      <c r="D1929" s="178" t="s">
        <v>1582</v>
      </c>
      <c r="E1929" s="180">
        <v>38157</v>
      </c>
      <c r="F1929" s="192">
        <v>0</v>
      </c>
    </row>
    <row r="1930" spans="1:6" ht="24">
      <c r="A1930" s="190">
        <v>540806</v>
      </c>
      <c r="B1930" s="176" t="s">
        <v>2722</v>
      </c>
      <c r="C1930" s="200">
        <v>217615676</v>
      </c>
      <c r="D1930" s="178" t="s">
        <v>1583</v>
      </c>
      <c r="E1930" s="180">
        <v>31094</v>
      </c>
      <c r="F1930" s="192">
        <v>0</v>
      </c>
    </row>
    <row r="1931" spans="1:6" ht="24">
      <c r="A1931" s="190">
        <v>540806</v>
      </c>
      <c r="B1931" s="176" t="s">
        <v>2722</v>
      </c>
      <c r="C1931" s="200">
        <v>218115681</v>
      </c>
      <c r="D1931" s="178" t="s">
        <v>1584</v>
      </c>
      <c r="E1931" s="180">
        <v>77573</v>
      </c>
      <c r="F1931" s="192">
        <v>0</v>
      </c>
    </row>
    <row r="1932" spans="1:6" ht="24">
      <c r="A1932" s="190">
        <v>540806</v>
      </c>
      <c r="B1932" s="176" t="s">
        <v>2722</v>
      </c>
      <c r="C1932" s="200">
        <v>218615686</v>
      </c>
      <c r="D1932" s="178" t="s">
        <v>1585</v>
      </c>
      <c r="E1932" s="180">
        <v>61553</v>
      </c>
      <c r="F1932" s="192">
        <v>0</v>
      </c>
    </row>
    <row r="1933" spans="1:6" ht="24">
      <c r="A1933" s="190">
        <v>540806</v>
      </c>
      <c r="B1933" s="176" t="s">
        <v>2722</v>
      </c>
      <c r="C1933" s="200">
        <v>219015690</v>
      </c>
      <c r="D1933" s="178" t="s">
        <v>1586</v>
      </c>
      <c r="E1933" s="180">
        <v>34759</v>
      </c>
      <c r="F1933" s="192">
        <v>0</v>
      </c>
    </row>
    <row r="1934" spans="1:6" ht="24">
      <c r="A1934" s="190">
        <v>540806</v>
      </c>
      <c r="B1934" s="176" t="s">
        <v>2722</v>
      </c>
      <c r="C1934" s="200">
        <v>219315693</v>
      </c>
      <c r="D1934" s="178" t="s">
        <v>1587</v>
      </c>
      <c r="E1934" s="180">
        <v>73448</v>
      </c>
      <c r="F1934" s="192">
        <v>0</v>
      </c>
    </row>
    <row r="1935" spans="1:6" ht="24">
      <c r="A1935" s="190">
        <v>540806</v>
      </c>
      <c r="B1935" s="176" t="s">
        <v>2722</v>
      </c>
      <c r="C1935" s="200">
        <v>219615696</v>
      </c>
      <c r="D1935" s="178" t="s">
        <v>1588</v>
      </c>
      <c r="E1935" s="180">
        <v>18803</v>
      </c>
      <c r="F1935" s="192">
        <v>0</v>
      </c>
    </row>
    <row r="1936" spans="1:6" ht="24">
      <c r="A1936" s="190">
        <v>540806</v>
      </c>
      <c r="B1936" s="176" t="s">
        <v>2722</v>
      </c>
      <c r="C1936" s="200">
        <v>212015720</v>
      </c>
      <c r="D1936" s="178" t="s">
        <v>1589</v>
      </c>
      <c r="E1936" s="180">
        <v>18053</v>
      </c>
      <c r="F1936" s="192">
        <v>0</v>
      </c>
    </row>
    <row r="1937" spans="1:6" ht="24">
      <c r="A1937" s="190">
        <v>540806</v>
      </c>
      <c r="B1937" s="176" t="s">
        <v>2722</v>
      </c>
      <c r="C1937" s="200">
        <v>212315723</v>
      </c>
      <c r="D1937" s="178" t="s">
        <v>1590</v>
      </c>
      <c r="E1937" s="180">
        <v>9386</v>
      </c>
      <c r="F1937" s="192">
        <v>0</v>
      </c>
    </row>
    <row r="1938" spans="1:6" ht="24">
      <c r="A1938" s="190">
        <v>540806</v>
      </c>
      <c r="B1938" s="176" t="s">
        <v>2722</v>
      </c>
      <c r="C1938" s="200">
        <v>214015740</v>
      </c>
      <c r="D1938" s="178" t="s">
        <v>1591</v>
      </c>
      <c r="E1938" s="180">
        <v>68823</v>
      </c>
      <c r="F1938" s="192">
        <v>0</v>
      </c>
    </row>
    <row r="1939" spans="1:6" ht="24">
      <c r="A1939" s="190">
        <v>540806</v>
      </c>
      <c r="B1939" s="176" t="s">
        <v>2722</v>
      </c>
      <c r="C1939" s="200">
        <v>215315753</v>
      </c>
      <c r="D1939" s="178" t="s">
        <v>1592</v>
      </c>
      <c r="E1939" s="180">
        <v>75364</v>
      </c>
      <c r="F1939" s="192">
        <v>0</v>
      </c>
    </row>
    <row r="1940" spans="1:6" ht="24">
      <c r="A1940" s="190">
        <v>540806</v>
      </c>
      <c r="B1940" s="176" t="s">
        <v>2722</v>
      </c>
      <c r="C1940" s="200">
        <v>215515755</v>
      </c>
      <c r="D1940" s="178" t="s">
        <v>1593</v>
      </c>
      <c r="E1940" s="180">
        <v>65245</v>
      </c>
      <c r="F1940" s="192">
        <v>0</v>
      </c>
    </row>
    <row r="1941" spans="1:6" ht="24">
      <c r="A1941" s="190">
        <v>540806</v>
      </c>
      <c r="B1941" s="176" t="s">
        <v>2722</v>
      </c>
      <c r="C1941" s="200">
        <v>215715757</v>
      </c>
      <c r="D1941" s="178" t="s">
        <v>1594</v>
      </c>
      <c r="E1941" s="180">
        <v>55739</v>
      </c>
      <c r="F1941" s="192">
        <v>0</v>
      </c>
    </row>
    <row r="1942" spans="1:6" ht="24">
      <c r="A1942" s="190">
        <v>540806</v>
      </c>
      <c r="B1942" s="176" t="s">
        <v>2722</v>
      </c>
      <c r="C1942" s="200">
        <v>216115761</v>
      </c>
      <c r="D1942" s="178" t="s">
        <v>1595</v>
      </c>
      <c r="E1942" s="180">
        <v>28037</v>
      </c>
      <c r="F1942" s="192">
        <v>0</v>
      </c>
    </row>
    <row r="1943" spans="1:6" ht="24">
      <c r="A1943" s="190">
        <v>540806</v>
      </c>
      <c r="B1943" s="176" t="s">
        <v>2722</v>
      </c>
      <c r="C1943" s="200">
        <v>216215762</v>
      </c>
      <c r="D1943" s="178" t="s">
        <v>1596</v>
      </c>
      <c r="E1943" s="180">
        <v>26766</v>
      </c>
      <c r="F1943" s="192">
        <v>0</v>
      </c>
    </row>
    <row r="1944" spans="1:6" ht="24">
      <c r="A1944" s="190">
        <v>540806</v>
      </c>
      <c r="B1944" s="176" t="s">
        <v>2722</v>
      </c>
      <c r="C1944" s="200">
        <v>216315763</v>
      </c>
      <c r="D1944" s="178" t="s">
        <v>1597</v>
      </c>
      <c r="E1944" s="180">
        <v>57071</v>
      </c>
      <c r="F1944" s="192">
        <v>0</v>
      </c>
    </row>
    <row r="1945" spans="1:6" ht="24">
      <c r="A1945" s="190">
        <v>540806</v>
      </c>
      <c r="B1945" s="176" t="s">
        <v>2722</v>
      </c>
      <c r="C1945" s="200">
        <v>216415764</v>
      </c>
      <c r="D1945" s="178" t="s">
        <v>1598</v>
      </c>
      <c r="E1945" s="180">
        <v>48083</v>
      </c>
      <c r="F1945" s="192">
        <v>0</v>
      </c>
    </row>
    <row r="1946" spans="1:6" ht="24">
      <c r="A1946" s="190">
        <v>540806</v>
      </c>
      <c r="B1946" s="176" t="s">
        <v>2722</v>
      </c>
      <c r="C1946" s="200">
        <v>217415774</v>
      </c>
      <c r="D1946" s="178" t="s">
        <v>1599</v>
      </c>
      <c r="E1946" s="180">
        <v>22964</v>
      </c>
      <c r="F1946" s="192">
        <v>0</v>
      </c>
    </row>
    <row r="1947" spans="1:6" ht="24">
      <c r="A1947" s="190">
        <v>540806</v>
      </c>
      <c r="B1947" s="176" t="s">
        <v>2722</v>
      </c>
      <c r="C1947" s="200">
        <v>217615776</v>
      </c>
      <c r="D1947" s="178" t="s">
        <v>1600</v>
      </c>
      <c r="E1947" s="180">
        <v>36481</v>
      </c>
      <c r="F1947" s="192">
        <v>0</v>
      </c>
    </row>
    <row r="1948" spans="1:6" ht="24">
      <c r="A1948" s="190">
        <v>540806</v>
      </c>
      <c r="B1948" s="176" t="s">
        <v>2722</v>
      </c>
      <c r="C1948" s="200">
        <v>217815778</v>
      </c>
      <c r="D1948" s="178" t="s">
        <v>1601</v>
      </c>
      <c r="E1948" s="180">
        <v>30398</v>
      </c>
      <c r="F1948" s="192">
        <v>0</v>
      </c>
    </row>
    <row r="1949" spans="1:6" ht="24">
      <c r="A1949" s="190">
        <v>540806</v>
      </c>
      <c r="B1949" s="176" t="s">
        <v>2722</v>
      </c>
      <c r="C1949" s="200">
        <v>219015790</v>
      </c>
      <c r="D1949" s="178" t="s">
        <v>1602</v>
      </c>
      <c r="E1949" s="180">
        <v>43054</v>
      </c>
      <c r="F1949" s="192">
        <v>0</v>
      </c>
    </row>
    <row r="1950" spans="1:6" ht="24">
      <c r="A1950" s="190">
        <v>540806</v>
      </c>
      <c r="B1950" s="176" t="s">
        <v>2722</v>
      </c>
      <c r="C1950" s="200">
        <v>219815798</v>
      </c>
      <c r="D1950" s="178" t="s">
        <v>1603</v>
      </c>
      <c r="E1950" s="180">
        <v>28762</v>
      </c>
      <c r="F1950" s="192">
        <v>0</v>
      </c>
    </row>
    <row r="1951" spans="1:6" ht="24">
      <c r="A1951" s="190">
        <v>540806</v>
      </c>
      <c r="B1951" s="176" t="s">
        <v>2722</v>
      </c>
      <c r="C1951" s="200">
        <v>210415804</v>
      </c>
      <c r="D1951" s="178" t="s">
        <v>1604</v>
      </c>
      <c r="E1951" s="180">
        <v>64281</v>
      </c>
      <c r="F1951" s="192">
        <v>0</v>
      </c>
    </row>
    <row r="1952" spans="1:6" ht="24">
      <c r="A1952" s="190">
        <v>540806</v>
      </c>
      <c r="B1952" s="176" t="s">
        <v>2722</v>
      </c>
      <c r="C1952" s="200">
        <v>210615806</v>
      </c>
      <c r="D1952" s="178" t="s">
        <v>1605</v>
      </c>
      <c r="E1952" s="180">
        <v>80712</v>
      </c>
      <c r="F1952" s="192">
        <v>0</v>
      </c>
    </row>
    <row r="1953" spans="1:6" ht="24">
      <c r="A1953" s="190">
        <v>540806</v>
      </c>
      <c r="B1953" s="176" t="s">
        <v>2722</v>
      </c>
      <c r="C1953" s="200">
        <v>210815808</v>
      </c>
      <c r="D1953" s="178" t="s">
        <v>1606</v>
      </c>
      <c r="E1953" s="180">
        <v>16858</v>
      </c>
      <c r="F1953" s="192">
        <v>0</v>
      </c>
    </row>
    <row r="1954" spans="1:6" ht="24">
      <c r="A1954" s="190">
        <v>540806</v>
      </c>
      <c r="B1954" s="176" t="s">
        <v>2722</v>
      </c>
      <c r="C1954" s="200">
        <v>211015810</v>
      </c>
      <c r="D1954" s="178" t="s">
        <v>1607</v>
      </c>
      <c r="E1954" s="180">
        <v>27968</v>
      </c>
      <c r="F1954" s="192">
        <v>0</v>
      </c>
    </row>
    <row r="1955" spans="1:6" ht="24">
      <c r="A1955" s="190">
        <v>540806</v>
      </c>
      <c r="B1955" s="176" t="s">
        <v>2722</v>
      </c>
      <c r="C1955" s="200">
        <v>211415814</v>
      </c>
      <c r="D1955" s="178" t="s">
        <v>1608</v>
      </c>
      <c r="E1955" s="180">
        <v>70849</v>
      </c>
      <c r="F1955" s="192">
        <v>0</v>
      </c>
    </row>
    <row r="1956" spans="1:6" ht="24">
      <c r="A1956" s="190">
        <v>540806</v>
      </c>
      <c r="B1956" s="176" t="s">
        <v>2722</v>
      </c>
      <c r="C1956" s="200">
        <v>211615816</v>
      </c>
      <c r="D1956" s="178" t="s">
        <v>1609</v>
      </c>
      <c r="E1956" s="180">
        <v>38394</v>
      </c>
      <c r="F1956" s="192">
        <v>0</v>
      </c>
    </row>
    <row r="1957" spans="1:6" ht="24">
      <c r="A1957" s="190">
        <v>540806</v>
      </c>
      <c r="B1957" s="176" t="s">
        <v>2722</v>
      </c>
      <c r="C1957" s="200">
        <v>212015820</v>
      </c>
      <c r="D1957" s="178" t="s">
        <v>1610</v>
      </c>
      <c r="E1957" s="180">
        <v>29792</v>
      </c>
      <c r="F1957" s="192">
        <v>0</v>
      </c>
    </row>
    <row r="1958" spans="1:6" ht="24">
      <c r="A1958" s="190">
        <v>540806</v>
      </c>
      <c r="B1958" s="176" t="s">
        <v>2722</v>
      </c>
      <c r="C1958" s="200">
        <v>212215822</v>
      </c>
      <c r="D1958" s="178" t="s">
        <v>1611</v>
      </c>
      <c r="E1958" s="180">
        <v>41966</v>
      </c>
      <c r="F1958" s="192">
        <v>0</v>
      </c>
    </row>
    <row r="1959" spans="1:6" ht="24">
      <c r="A1959" s="190">
        <v>540806</v>
      </c>
      <c r="B1959" s="176" t="s">
        <v>2722</v>
      </c>
      <c r="C1959" s="200">
        <v>213215832</v>
      </c>
      <c r="D1959" s="178" t="s">
        <v>1612</v>
      </c>
      <c r="E1959" s="180">
        <v>13674</v>
      </c>
      <c r="F1959" s="192">
        <v>0</v>
      </c>
    </row>
    <row r="1960" spans="1:6" ht="24">
      <c r="A1960" s="190">
        <v>540806</v>
      </c>
      <c r="B1960" s="176" t="s">
        <v>2722</v>
      </c>
      <c r="C1960" s="200">
        <v>213515835</v>
      </c>
      <c r="D1960" s="178" t="s">
        <v>1613</v>
      </c>
      <c r="E1960" s="180">
        <v>55921</v>
      </c>
      <c r="F1960" s="192">
        <v>0</v>
      </c>
    </row>
    <row r="1961" spans="1:6" ht="24">
      <c r="A1961" s="190">
        <v>540806</v>
      </c>
      <c r="B1961" s="176" t="s">
        <v>2722</v>
      </c>
      <c r="C1961" s="200">
        <v>213715837</v>
      </c>
      <c r="D1961" s="178" t="s">
        <v>1614</v>
      </c>
      <c r="E1961" s="180">
        <v>69212</v>
      </c>
      <c r="F1961" s="192">
        <v>0</v>
      </c>
    </row>
    <row r="1962" spans="1:6" ht="24">
      <c r="A1962" s="190">
        <v>540806</v>
      </c>
      <c r="B1962" s="176" t="s">
        <v>2722</v>
      </c>
      <c r="C1962" s="200">
        <v>213915839</v>
      </c>
      <c r="D1962" s="178" t="s">
        <v>1615</v>
      </c>
      <c r="E1962" s="180">
        <v>18527</v>
      </c>
      <c r="F1962" s="192">
        <v>0</v>
      </c>
    </row>
    <row r="1963" spans="1:6" ht="24">
      <c r="A1963" s="190">
        <v>540806</v>
      </c>
      <c r="B1963" s="176" t="s">
        <v>2722</v>
      </c>
      <c r="C1963" s="200">
        <v>214215842</v>
      </c>
      <c r="D1963" s="178" t="s">
        <v>1616</v>
      </c>
      <c r="E1963" s="180">
        <v>64001</v>
      </c>
      <c r="F1963" s="192">
        <v>0</v>
      </c>
    </row>
    <row r="1964" spans="1:6" ht="24">
      <c r="A1964" s="190">
        <v>540806</v>
      </c>
      <c r="B1964" s="176" t="s">
        <v>2722</v>
      </c>
      <c r="C1964" s="200">
        <v>216115861</v>
      </c>
      <c r="D1964" s="178" t="s">
        <v>1617</v>
      </c>
      <c r="E1964" s="180">
        <v>109208</v>
      </c>
      <c r="F1964" s="192">
        <v>0</v>
      </c>
    </row>
    <row r="1965" spans="1:6" ht="24">
      <c r="A1965" s="190">
        <v>540806</v>
      </c>
      <c r="B1965" s="176" t="s">
        <v>2722</v>
      </c>
      <c r="C1965" s="200">
        <v>217915879</v>
      </c>
      <c r="D1965" s="178" t="s">
        <v>1618</v>
      </c>
      <c r="E1965" s="180">
        <v>23616</v>
      </c>
      <c r="F1965" s="192">
        <v>0</v>
      </c>
    </row>
    <row r="1966" spans="1:6" ht="24">
      <c r="A1966" s="190">
        <v>540806</v>
      </c>
      <c r="B1966" s="176" t="s">
        <v>2722</v>
      </c>
      <c r="C1966" s="200">
        <v>219715897</v>
      </c>
      <c r="D1966" s="178" t="s">
        <v>1619</v>
      </c>
      <c r="E1966" s="180">
        <v>49808</v>
      </c>
      <c r="F1966" s="192">
        <v>0</v>
      </c>
    </row>
    <row r="1967" spans="1:6" ht="24">
      <c r="A1967" s="190">
        <v>540806</v>
      </c>
      <c r="B1967" s="176" t="s">
        <v>2722</v>
      </c>
      <c r="C1967" s="200" t="s">
        <v>1620</v>
      </c>
      <c r="D1967" s="178" t="s">
        <v>1621</v>
      </c>
      <c r="E1967" s="180">
        <v>181540</v>
      </c>
      <c r="F1967" s="192">
        <v>0</v>
      </c>
    </row>
    <row r="1968" spans="1:6" ht="24">
      <c r="A1968" s="190">
        <v>540806</v>
      </c>
      <c r="B1968" s="176" t="s">
        <v>2722</v>
      </c>
      <c r="C1968" s="200">
        <v>214217042</v>
      </c>
      <c r="D1968" s="178" t="s">
        <v>1622</v>
      </c>
      <c r="E1968" s="180">
        <v>259185</v>
      </c>
      <c r="F1968" s="192">
        <v>0</v>
      </c>
    </row>
    <row r="1969" spans="1:6" ht="24">
      <c r="A1969" s="190">
        <v>540806</v>
      </c>
      <c r="B1969" s="176" t="s">
        <v>2722</v>
      </c>
      <c r="C1969" s="200">
        <v>215017050</v>
      </c>
      <c r="D1969" s="178" t="s">
        <v>1623</v>
      </c>
      <c r="E1969" s="180">
        <v>96064</v>
      </c>
      <c r="F1969" s="192">
        <v>0</v>
      </c>
    </row>
    <row r="1970" spans="1:6" ht="24">
      <c r="A1970" s="190">
        <v>540806</v>
      </c>
      <c r="B1970" s="176" t="s">
        <v>2722</v>
      </c>
      <c r="C1970" s="200">
        <v>218817088</v>
      </c>
      <c r="D1970" s="178" t="s">
        <v>1624</v>
      </c>
      <c r="E1970" s="180">
        <v>81324</v>
      </c>
      <c r="F1970" s="192">
        <v>0</v>
      </c>
    </row>
    <row r="1971" spans="1:6" ht="24">
      <c r="A1971" s="190">
        <v>540806</v>
      </c>
      <c r="B1971" s="176" t="s">
        <v>2722</v>
      </c>
      <c r="C1971" s="200">
        <v>217417174</v>
      </c>
      <c r="D1971" s="178" t="s">
        <v>1625</v>
      </c>
      <c r="E1971" s="180">
        <v>341412</v>
      </c>
      <c r="F1971" s="192">
        <v>0</v>
      </c>
    </row>
    <row r="1972" spans="1:6" ht="24">
      <c r="A1972" s="190">
        <v>540806</v>
      </c>
      <c r="B1972" s="176" t="s">
        <v>2722</v>
      </c>
      <c r="C1972" s="200">
        <v>217217272</v>
      </c>
      <c r="D1972" s="178" t="s">
        <v>1626</v>
      </c>
      <c r="E1972" s="180">
        <v>79414</v>
      </c>
      <c r="F1972" s="192">
        <v>0</v>
      </c>
    </row>
    <row r="1973" spans="1:6" ht="24">
      <c r="A1973" s="190">
        <v>540806</v>
      </c>
      <c r="B1973" s="176" t="s">
        <v>2722</v>
      </c>
      <c r="C1973" s="200">
        <v>218017380</v>
      </c>
      <c r="D1973" s="178" t="s">
        <v>1627</v>
      </c>
      <c r="E1973" s="180">
        <v>486953</v>
      </c>
      <c r="F1973" s="192">
        <v>0</v>
      </c>
    </row>
    <row r="1974" spans="1:6" ht="24">
      <c r="A1974" s="190">
        <v>540806</v>
      </c>
      <c r="B1974" s="176" t="s">
        <v>2722</v>
      </c>
      <c r="C1974" s="200">
        <v>218817388</v>
      </c>
      <c r="D1974" s="178" t="s">
        <v>1628</v>
      </c>
      <c r="E1974" s="180">
        <v>56800</v>
      </c>
      <c r="F1974" s="192">
        <v>0</v>
      </c>
    </row>
    <row r="1975" spans="1:6" ht="24">
      <c r="A1975" s="190">
        <v>540806</v>
      </c>
      <c r="B1975" s="176" t="s">
        <v>2722</v>
      </c>
      <c r="C1975" s="200">
        <v>213317433</v>
      </c>
      <c r="D1975" s="178" t="s">
        <v>1629</v>
      </c>
      <c r="E1975" s="180">
        <v>137183</v>
      </c>
      <c r="F1975" s="192">
        <v>0</v>
      </c>
    </row>
    <row r="1976" spans="1:6" ht="24">
      <c r="A1976" s="190">
        <v>540806</v>
      </c>
      <c r="B1976" s="176" t="s">
        <v>2722</v>
      </c>
      <c r="C1976" s="200">
        <v>214217442</v>
      </c>
      <c r="D1976" s="178" t="s">
        <v>1630</v>
      </c>
      <c r="E1976" s="180">
        <v>72119</v>
      </c>
      <c r="F1976" s="192">
        <v>0</v>
      </c>
    </row>
    <row r="1977" spans="1:6" ht="24">
      <c r="A1977" s="190">
        <v>540806</v>
      </c>
      <c r="B1977" s="176" t="s">
        <v>2722</v>
      </c>
      <c r="C1977" s="200">
        <v>214417444</v>
      </c>
      <c r="D1977" s="178" t="s">
        <v>1631</v>
      </c>
      <c r="E1977" s="180">
        <v>106180</v>
      </c>
      <c r="F1977" s="192">
        <v>0</v>
      </c>
    </row>
    <row r="1978" spans="1:6" ht="24">
      <c r="A1978" s="190">
        <v>540806</v>
      </c>
      <c r="B1978" s="176" t="s">
        <v>2722</v>
      </c>
      <c r="C1978" s="200">
        <v>214617446</v>
      </c>
      <c r="D1978" s="178" t="s">
        <v>1632</v>
      </c>
      <c r="E1978" s="180">
        <v>18983</v>
      </c>
      <c r="F1978" s="192">
        <v>0</v>
      </c>
    </row>
    <row r="1979" spans="1:6" ht="24">
      <c r="A1979" s="190">
        <v>540806</v>
      </c>
      <c r="B1979" s="176" t="s">
        <v>2722</v>
      </c>
      <c r="C1979" s="200">
        <v>218617486</v>
      </c>
      <c r="D1979" s="178" t="s">
        <v>1633</v>
      </c>
      <c r="E1979" s="180">
        <v>169029</v>
      </c>
      <c r="F1979" s="192">
        <v>0</v>
      </c>
    </row>
    <row r="1980" spans="1:6" ht="24">
      <c r="A1980" s="190">
        <v>540806</v>
      </c>
      <c r="B1980" s="176" t="s">
        <v>2722</v>
      </c>
      <c r="C1980" s="200">
        <v>219517495</v>
      </c>
      <c r="D1980" s="178" t="s">
        <v>1634</v>
      </c>
      <c r="E1980" s="180">
        <v>55021</v>
      </c>
      <c r="F1980" s="192">
        <v>0</v>
      </c>
    </row>
    <row r="1981" spans="1:6" ht="24">
      <c r="A1981" s="190">
        <v>540806</v>
      </c>
      <c r="B1981" s="176" t="s">
        <v>2722</v>
      </c>
      <c r="C1981" s="200">
        <v>211317513</v>
      </c>
      <c r="D1981" s="178" t="s">
        <v>1635</v>
      </c>
      <c r="E1981" s="180">
        <v>112565</v>
      </c>
      <c r="F1981" s="192">
        <v>0</v>
      </c>
    </row>
    <row r="1982" spans="1:6" ht="24">
      <c r="A1982" s="190">
        <v>540806</v>
      </c>
      <c r="B1982" s="176" t="s">
        <v>2722</v>
      </c>
      <c r="C1982" s="200">
        <v>212417524</v>
      </c>
      <c r="D1982" s="178" t="s">
        <v>1636</v>
      </c>
      <c r="E1982" s="180">
        <v>126616</v>
      </c>
      <c r="F1982" s="192">
        <v>0</v>
      </c>
    </row>
    <row r="1983" spans="1:6" ht="24">
      <c r="A1983" s="190">
        <v>540806</v>
      </c>
      <c r="B1983" s="176" t="s">
        <v>2722</v>
      </c>
      <c r="C1983" s="200">
        <v>214117541</v>
      </c>
      <c r="D1983" s="178" t="s">
        <v>1637</v>
      </c>
      <c r="E1983" s="180">
        <v>179509</v>
      </c>
      <c r="F1983" s="192">
        <v>0</v>
      </c>
    </row>
    <row r="1984" spans="1:6" ht="24">
      <c r="A1984" s="190">
        <v>540806</v>
      </c>
      <c r="B1984" s="176" t="s">
        <v>2722</v>
      </c>
      <c r="C1984" s="200">
        <v>211527615</v>
      </c>
      <c r="D1984" s="178" t="s">
        <v>1638</v>
      </c>
      <c r="E1984" s="180">
        <v>394956</v>
      </c>
      <c r="F1984" s="192">
        <v>0</v>
      </c>
    </row>
    <row r="1985" spans="1:6" ht="24">
      <c r="A1985" s="190">
        <v>540806</v>
      </c>
      <c r="B1985" s="176" t="s">
        <v>2722</v>
      </c>
      <c r="C1985" s="200">
        <v>211617616</v>
      </c>
      <c r="D1985" s="178" t="s">
        <v>1009</v>
      </c>
      <c r="E1985" s="180">
        <v>73397</v>
      </c>
      <c r="F1985" s="192">
        <v>0</v>
      </c>
    </row>
    <row r="1986" spans="1:6" ht="24">
      <c r="A1986" s="190">
        <v>540806</v>
      </c>
      <c r="B1986" s="176" t="s">
        <v>2722</v>
      </c>
      <c r="C1986" s="200">
        <v>215317653</v>
      </c>
      <c r="D1986" s="178" t="s">
        <v>1639</v>
      </c>
      <c r="E1986" s="180">
        <v>138147</v>
      </c>
      <c r="F1986" s="192">
        <v>0</v>
      </c>
    </row>
    <row r="1987" spans="1:6" ht="24">
      <c r="A1987" s="190">
        <v>540806</v>
      </c>
      <c r="B1987" s="176" t="s">
        <v>2722</v>
      </c>
      <c r="C1987" s="200">
        <v>216217662</v>
      </c>
      <c r="D1987" s="178" t="s">
        <v>1640</v>
      </c>
      <c r="E1987" s="180">
        <v>178979</v>
      </c>
      <c r="F1987" s="192">
        <v>0</v>
      </c>
    </row>
    <row r="1988" spans="1:6" ht="24">
      <c r="A1988" s="190">
        <v>540806</v>
      </c>
      <c r="B1988" s="176" t="s">
        <v>2722</v>
      </c>
      <c r="C1988" s="200">
        <v>216517665</v>
      </c>
      <c r="D1988" s="178" t="s">
        <v>1641</v>
      </c>
      <c r="E1988" s="180">
        <v>42296</v>
      </c>
      <c r="F1988" s="192">
        <v>0</v>
      </c>
    </row>
    <row r="1989" spans="1:6" ht="24">
      <c r="A1989" s="190">
        <v>540806</v>
      </c>
      <c r="B1989" s="176" t="s">
        <v>2722</v>
      </c>
      <c r="C1989" s="200">
        <v>217717777</v>
      </c>
      <c r="D1989" s="178" t="s">
        <v>1642</v>
      </c>
      <c r="E1989" s="180">
        <v>189164</v>
      </c>
      <c r="F1989" s="192">
        <v>0</v>
      </c>
    </row>
    <row r="1990" spans="1:6" ht="24">
      <c r="A1990" s="190">
        <v>540806</v>
      </c>
      <c r="B1990" s="176" t="s">
        <v>2722</v>
      </c>
      <c r="C1990" s="200">
        <v>216717867</v>
      </c>
      <c r="D1990" s="178" t="s">
        <v>1643</v>
      </c>
      <c r="E1990" s="180">
        <v>67913</v>
      </c>
      <c r="F1990" s="192">
        <v>0</v>
      </c>
    </row>
    <row r="1991" spans="1:6" ht="24">
      <c r="A1991" s="190">
        <v>540806</v>
      </c>
      <c r="B1991" s="176" t="s">
        <v>2722</v>
      </c>
      <c r="C1991" s="200">
        <v>217317873</v>
      </c>
      <c r="D1991" s="178" t="s">
        <v>1644</v>
      </c>
      <c r="E1991" s="180">
        <v>270044</v>
      </c>
      <c r="F1991" s="192">
        <v>0</v>
      </c>
    </row>
    <row r="1992" spans="1:6" ht="24">
      <c r="A1992" s="190">
        <v>540806</v>
      </c>
      <c r="B1992" s="176" t="s">
        <v>2722</v>
      </c>
      <c r="C1992" s="200">
        <v>217717877</v>
      </c>
      <c r="D1992" s="178" t="s">
        <v>1645</v>
      </c>
      <c r="E1992" s="180">
        <v>114381</v>
      </c>
      <c r="F1992" s="192">
        <v>0</v>
      </c>
    </row>
    <row r="1993" spans="1:6" ht="24">
      <c r="A1993" s="190">
        <v>540806</v>
      </c>
      <c r="B1993" s="176" t="s">
        <v>2722</v>
      </c>
      <c r="C1993" s="200">
        <v>212918029</v>
      </c>
      <c r="D1993" s="178" t="s">
        <v>1646</v>
      </c>
      <c r="E1993" s="180">
        <v>57130</v>
      </c>
      <c r="F1993" s="192">
        <v>0</v>
      </c>
    </row>
    <row r="1994" spans="1:6" ht="24">
      <c r="A1994" s="190">
        <v>540806</v>
      </c>
      <c r="B1994" s="176" t="s">
        <v>2722</v>
      </c>
      <c r="C1994" s="200">
        <v>219418094</v>
      </c>
      <c r="D1994" s="178" t="s">
        <v>1647</v>
      </c>
      <c r="E1994" s="180">
        <v>104795</v>
      </c>
      <c r="F1994" s="192">
        <v>0</v>
      </c>
    </row>
    <row r="1995" spans="1:6" ht="24">
      <c r="A1995" s="190">
        <v>540806</v>
      </c>
      <c r="B1995" s="176" t="s">
        <v>2722</v>
      </c>
      <c r="C1995" s="200">
        <v>215018150</v>
      </c>
      <c r="D1995" s="178" t="s">
        <v>1648</v>
      </c>
      <c r="E1995" s="180">
        <v>285455</v>
      </c>
      <c r="F1995" s="192">
        <v>0</v>
      </c>
    </row>
    <row r="1996" spans="1:6" ht="24">
      <c r="A1996" s="190">
        <v>540806</v>
      </c>
      <c r="B1996" s="176" t="s">
        <v>2722</v>
      </c>
      <c r="C1996" s="200" t="s">
        <v>1649</v>
      </c>
      <c r="D1996" s="178" t="s">
        <v>1650</v>
      </c>
      <c r="E1996" s="180">
        <v>108135</v>
      </c>
      <c r="F1996" s="192">
        <v>0</v>
      </c>
    </row>
    <row r="1997" spans="1:6" ht="24">
      <c r="A1997" s="190">
        <v>540806</v>
      </c>
      <c r="B1997" s="176" t="s">
        <v>2722</v>
      </c>
      <c r="C1997" s="200" t="s">
        <v>1651</v>
      </c>
      <c r="D1997" s="178" t="s">
        <v>1652</v>
      </c>
      <c r="E1997" s="180">
        <v>187051</v>
      </c>
      <c r="F1997" s="192">
        <v>0</v>
      </c>
    </row>
    <row r="1998" spans="1:6" ht="24">
      <c r="A1998" s="190">
        <v>540806</v>
      </c>
      <c r="B1998" s="176" t="s">
        <v>2722</v>
      </c>
      <c r="C1998" s="200" t="s">
        <v>1653</v>
      </c>
      <c r="D1998" s="178" t="s">
        <v>1654</v>
      </c>
      <c r="E1998" s="180">
        <v>118784</v>
      </c>
      <c r="F1998" s="192">
        <v>0</v>
      </c>
    </row>
    <row r="1999" spans="1:6" ht="24">
      <c r="A1999" s="190">
        <v>540806</v>
      </c>
      <c r="B1999" s="176" t="s">
        <v>2722</v>
      </c>
      <c r="C1999" s="200" t="s">
        <v>1655</v>
      </c>
      <c r="D1999" s="178" t="s">
        <v>1656</v>
      </c>
      <c r="E1999" s="180">
        <v>163536</v>
      </c>
      <c r="F1999" s="192">
        <v>0</v>
      </c>
    </row>
    <row r="2000" spans="1:6" ht="24">
      <c r="A2000" s="190">
        <v>540806</v>
      </c>
      <c r="B2000" s="176" t="s">
        <v>2722</v>
      </c>
      <c r="C2000" s="200" t="s">
        <v>1657</v>
      </c>
      <c r="D2000" s="178" t="s">
        <v>1658</v>
      </c>
      <c r="E2000" s="180">
        <v>151101</v>
      </c>
      <c r="F2000" s="192">
        <v>0</v>
      </c>
    </row>
    <row r="2001" spans="1:6" ht="24">
      <c r="A2001" s="190">
        <v>540806</v>
      </c>
      <c r="B2001" s="176" t="s">
        <v>2722</v>
      </c>
      <c r="C2001" s="200" t="s">
        <v>1659</v>
      </c>
      <c r="D2001" s="178" t="s">
        <v>1660</v>
      </c>
      <c r="E2001" s="180">
        <v>31822</v>
      </c>
      <c r="F2001" s="192">
        <v>0</v>
      </c>
    </row>
    <row r="2002" spans="1:6" ht="24">
      <c r="A2002" s="190">
        <v>540806</v>
      </c>
      <c r="B2002" s="176" t="s">
        <v>2722</v>
      </c>
      <c r="C2002" s="200" t="s">
        <v>1661</v>
      </c>
      <c r="D2002" s="178" t="s">
        <v>1662</v>
      </c>
      <c r="E2002" s="180">
        <v>369583</v>
      </c>
      <c r="F2002" s="192">
        <v>0</v>
      </c>
    </row>
    <row r="2003" spans="1:6" ht="24">
      <c r="A2003" s="190">
        <v>540806</v>
      </c>
      <c r="B2003" s="176" t="s">
        <v>2722</v>
      </c>
      <c r="C2003" s="200">
        <v>211018610</v>
      </c>
      <c r="D2003" s="178" t="s">
        <v>1663</v>
      </c>
      <c r="E2003" s="180">
        <v>132094</v>
      </c>
      <c r="F2003" s="192">
        <v>0</v>
      </c>
    </row>
    <row r="2004" spans="1:6" ht="24">
      <c r="A2004" s="190">
        <v>540806</v>
      </c>
      <c r="B2004" s="176" t="s">
        <v>2722</v>
      </c>
      <c r="C2004" s="200">
        <v>215318753</v>
      </c>
      <c r="D2004" s="178" t="s">
        <v>1664</v>
      </c>
      <c r="E2004" s="180">
        <v>561419</v>
      </c>
      <c r="F2004" s="192">
        <v>0</v>
      </c>
    </row>
    <row r="2005" spans="1:6" ht="24">
      <c r="A2005" s="190">
        <v>540806</v>
      </c>
      <c r="B2005" s="176" t="s">
        <v>2722</v>
      </c>
      <c r="C2005" s="200">
        <v>215618756</v>
      </c>
      <c r="D2005" s="178" t="s">
        <v>1665</v>
      </c>
      <c r="E2005" s="180">
        <v>122942</v>
      </c>
      <c r="F2005" s="192">
        <v>0</v>
      </c>
    </row>
    <row r="2006" spans="1:6" ht="24">
      <c r="A2006" s="190">
        <v>540806</v>
      </c>
      <c r="B2006" s="176" t="s">
        <v>2722</v>
      </c>
      <c r="C2006" s="200">
        <v>218518785</v>
      </c>
      <c r="D2006" s="178" t="s">
        <v>1666</v>
      </c>
      <c r="E2006" s="180">
        <v>81781</v>
      </c>
      <c r="F2006" s="192">
        <v>0</v>
      </c>
    </row>
    <row r="2007" spans="1:6" ht="24">
      <c r="A2007" s="190">
        <v>540806</v>
      </c>
      <c r="B2007" s="176" t="s">
        <v>2722</v>
      </c>
      <c r="C2007" s="200">
        <v>216018860</v>
      </c>
      <c r="D2007" s="178" t="s">
        <v>1298</v>
      </c>
      <c r="E2007" s="180">
        <v>95263</v>
      </c>
      <c r="F2007" s="192">
        <v>0</v>
      </c>
    </row>
    <row r="2008" spans="1:6" ht="24">
      <c r="A2008" s="190">
        <v>540806</v>
      </c>
      <c r="B2008" s="176" t="s">
        <v>2722</v>
      </c>
      <c r="C2008" s="200" t="s">
        <v>1667</v>
      </c>
      <c r="D2008" s="178" t="s">
        <v>1668</v>
      </c>
      <c r="E2008" s="180">
        <v>138480</v>
      </c>
      <c r="F2008" s="192">
        <v>0</v>
      </c>
    </row>
    <row r="2009" spans="1:6" ht="24">
      <c r="A2009" s="190">
        <v>540806</v>
      </c>
      <c r="B2009" s="176" t="s">
        <v>2722</v>
      </c>
      <c r="C2009" s="200" t="s">
        <v>1669</v>
      </c>
      <c r="D2009" s="178" t="s">
        <v>1114</v>
      </c>
      <c r="E2009" s="180">
        <v>195194</v>
      </c>
      <c r="F2009" s="192">
        <v>0</v>
      </c>
    </row>
    <row r="2010" spans="1:6" ht="24">
      <c r="A2010" s="190">
        <v>540806</v>
      </c>
      <c r="B2010" s="176" t="s">
        <v>2722</v>
      </c>
      <c r="C2010" s="200" t="s">
        <v>1670</v>
      </c>
      <c r="D2010" s="178" t="s">
        <v>1671</v>
      </c>
      <c r="E2010" s="180">
        <v>141072</v>
      </c>
      <c r="F2010" s="192">
        <v>0</v>
      </c>
    </row>
    <row r="2011" spans="1:6" ht="24">
      <c r="A2011" s="190">
        <v>540806</v>
      </c>
      <c r="B2011" s="176" t="s">
        <v>2722</v>
      </c>
      <c r="C2011" s="200" t="s">
        <v>1672</v>
      </c>
      <c r="D2011" s="178" t="s">
        <v>994</v>
      </c>
      <c r="E2011" s="180">
        <v>319060</v>
      </c>
      <c r="F2011" s="192">
        <v>0</v>
      </c>
    </row>
    <row r="2012" spans="1:6" ht="24">
      <c r="A2012" s="190">
        <v>540806</v>
      </c>
      <c r="B2012" s="176" t="s">
        <v>2722</v>
      </c>
      <c r="C2012" s="200" t="s">
        <v>1673</v>
      </c>
      <c r="D2012" s="178" t="s">
        <v>1674</v>
      </c>
      <c r="E2012" s="180">
        <v>194227</v>
      </c>
      <c r="F2012" s="192">
        <v>0</v>
      </c>
    </row>
    <row r="2013" spans="1:6" ht="24">
      <c r="A2013" s="190">
        <v>540806</v>
      </c>
      <c r="B2013" s="176" t="s">
        <v>2722</v>
      </c>
      <c r="C2013" s="200" t="s">
        <v>1675</v>
      </c>
      <c r="D2013" s="178" t="s">
        <v>1676</v>
      </c>
      <c r="E2013" s="180">
        <v>244339</v>
      </c>
      <c r="F2013" s="192">
        <v>0</v>
      </c>
    </row>
    <row r="2014" spans="1:6" ht="24">
      <c r="A2014" s="190">
        <v>540806</v>
      </c>
      <c r="B2014" s="176" t="s">
        <v>2722</v>
      </c>
      <c r="C2014" s="200">
        <v>213719137</v>
      </c>
      <c r="D2014" s="178" t="s">
        <v>1677</v>
      </c>
      <c r="E2014" s="180">
        <v>307485</v>
      </c>
      <c r="F2014" s="192">
        <v>0</v>
      </c>
    </row>
    <row r="2015" spans="1:6" ht="24">
      <c r="A2015" s="190">
        <v>540806</v>
      </c>
      <c r="B2015" s="176" t="s">
        <v>2722</v>
      </c>
      <c r="C2015" s="200">
        <v>214219142</v>
      </c>
      <c r="D2015" s="178" t="s">
        <v>1678</v>
      </c>
      <c r="E2015" s="180">
        <v>297394</v>
      </c>
      <c r="F2015" s="192">
        <v>0</v>
      </c>
    </row>
    <row r="2016" spans="1:6" ht="24">
      <c r="A2016" s="190">
        <v>540806</v>
      </c>
      <c r="B2016" s="176" t="s">
        <v>2722</v>
      </c>
      <c r="C2016" s="200">
        <v>211219212</v>
      </c>
      <c r="D2016" s="178" t="s">
        <v>1679</v>
      </c>
      <c r="E2016" s="180">
        <v>205588</v>
      </c>
      <c r="F2016" s="192">
        <v>0</v>
      </c>
    </row>
    <row r="2017" spans="1:6" ht="24">
      <c r="A2017" s="190">
        <v>540806</v>
      </c>
      <c r="B2017" s="176" t="s">
        <v>2722</v>
      </c>
      <c r="C2017" s="200">
        <v>215619256</v>
      </c>
      <c r="D2017" s="178" t="s">
        <v>1680</v>
      </c>
      <c r="E2017" s="180">
        <v>343420</v>
      </c>
      <c r="F2017" s="192">
        <v>0</v>
      </c>
    </row>
    <row r="2018" spans="1:6" ht="24">
      <c r="A2018" s="190">
        <v>540806</v>
      </c>
      <c r="B2018" s="176" t="s">
        <v>2722</v>
      </c>
      <c r="C2018" s="200">
        <v>219019290</v>
      </c>
      <c r="D2018" s="178" t="s">
        <v>1047</v>
      </c>
      <c r="E2018" s="180">
        <v>37634</v>
      </c>
      <c r="F2018" s="192">
        <v>0</v>
      </c>
    </row>
    <row r="2019" spans="1:6" ht="24">
      <c r="A2019" s="190">
        <v>540806</v>
      </c>
      <c r="B2019" s="176" t="s">
        <v>2722</v>
      </c>
      <c r="C2019" s="200">
        <v>211819318</v>
      </c>
      <c r="D2019" s="178" t="s">
        <v>1681</v>
      </c>
      <c r="E2019" s="180">
        <v>396306</v>
      </c>
      <c r="F2019" s="192">
        <v>0</v>
      </c>
    </row>
    <row r="2020" spans="1:6" ht="24">
      <c r="A2020" s="190">
        <v>540806</v>
      </c>
      <c r="B2020" s="176" t="s">
        <v>2722</v>
      </c>
      <c r="C2020" s="200">
        <v>215519355</v>
      </c>
      <c r="D2020" s="178" t="s">
        <v>1682</v>
      </c>
      <c r="E2020" s="180">
        <v>265773</v>
      </c>
      <c r="F2020" s="192">
        <v>0</v>
      </c>
    </row>
    <row r="2021" spans="1:6" ht="24">
      <c r="A2021" s="190">
        <v>540806</v>
      </c>
      <c r="B2021" s="176" t="s">
        <v>2722</v>
      </c>
      <c r="C2021" s="200">
        <v>216419364</v>
      </c>
      <c r="D2021" s="178" t="s">
        <v>1683</v>
      </c>
      <c r="E2021" s="180">
        <v>172491</v>
      </c>
      <c r="F2021" s="192">
        <v>0</v>
      </c>
    </row>
    <row r="2022" spans="1:6" ht="24">
      <c r="A2022" s="190">
        <v>540806</v>
      </c>
      <c r="B2022" s="176" t="s">
        <v>2722</v>
      </c>
      <c r="C2022" s="200">
        <v>219219392</v>
      </c>
      <c r="D2022" s="178" t="s">
        <v>1684</v>
      </c>
      <c r="E2022" s="180">
        <v>90878</v>
      </c>
      <c r="F2022" s="192">
        <v>0</v>
      </c>
    </row>
    <row r="2023" spans="1:6" ht="24">
      <c r="A2023" s="190">
        <v>540806</v>
      </c>
      <c r="B2023" s="176" t="s">
        <v>2722</v>
      </c>
      <c r="C2023" s="200">
        <v>219719397</v>
      </c>
      <c r="D2023" s="178" t="s">
        <v>1685</v>
      </c>
      <c r="E2023" s="180">
        <v>195792</v>
      </c>
      <c r="F2023" s="192">
        <v>0</v>
      </c>
    </row>
    <row r="2024" spans="1:6" ht="24">
      <c r="A2024" s="190">
        <v>540806</v>
      </c>
      <c r="B2024" s="176" t="s">
        <v>2722</v>
      </c>
      <c r="C2024" s="200">
        <v>211819418</v>
      </c>
      <c r="D2024" s="178" t="s">
        <v>1686</v>
      </c>
      <c r="E2024" s="180">
        <v>277624</v>
      </c>
      <c r="F2024" s="192">
        <v>0</v>
      </c>
    </row>
    <row r="2025" spans="1:6" ht="24">
      <c r="A2025" s="190">
        <v>540806</v>
      </c>
      <c r="B2025" s="176" t="s">
        <v>2722</v>
      </c>
      <c r="C2025" s="200">
        <v>215019450</v>
      </c>
      <c r="D2025" s="178" t="s">
        <v>1687</v>
      </c>
      <c r="E2025" s="180">
        <v>125153</v>
      </c>
      <c r="F2025" s="192">
        <v>0</v>
      </c>
    </row>
    <row r="2026" spans="1:6" ht="24">
      <c r="A2026" s="190">
        <v>540806</v>
      </c>
      <c r="B2026" s="176" t="s">
        <v>2722</v>
      </c>
      <c r="C2026" s="200">
        <v>215519455</v>
      </c>
      <c r="D2026" s="178" t="s">
        <v>1688</v>
      </c>
      <c r="E2026" s="180">
        <v>200039</v>
      </c>
      <c r="F2026" s="192">
        <v>0</v>
      </c>
    </row>
    <row r="2027" spans="1:6" ht="24">
      <c r="A2027" s="190">
        <v>540806</v>
      </c>
      <c r="B2027" s="176" t="s">
        <v>2722</v>
      </c>
      <c r="C2027" s="200">
        <v>217319473</v>
      </c>
      <c r="D2027" s="178" t="s">
        <v>1391</v>
      </c>
      <c r="E2027" s="180">
        <v>250066</v>
      </c>
      <c r="F2027" s="192">
        <v>0</v>
      </c>
    </row>
    <row r="2028" spans="1:6" ht="24">
      <c r="A2028" s="190">
        <v>540806</v>
      </c>
      <c r="B2028" s="176" t="s">
        <v>2722</v>
      </c>
      <c r="C2028" s="200">
        <v>211319513</v>
      </c>
      <c r="D2028" s="178" t="s">
        <v>1689</v>
      </c>
      <c r="E2028" s="180">
        <v>73968</v>
      </c>
      <c r="F2028" s="192">
        <v>0</v>
      </c>
    </row>
    <row r="2029" spans="1:6" ht="24">
      <c r="A2029" s="190">
        <v>540806</v>
      </c>
      <c r="B2029" s="176" t="s">
        <v>2722</v>
      </c>
      <c r="C2029" s="200">
        <v>211719517</v>
      </c>
      <c r="D2029" s="178" t="s">
        <v>1545</v>
      </c>
      <c r="E2029" s="180">
        <v>368166</v>
      </c>
      <c r="F2029" s="192">
        <v>0</v>
      </c>
    </row>
    <row r="2030" spans="1:6" ht="24">
      <c r="A2030" s="190">
        <v>540806</v>
      </c>
      <c r="B2030" s="176" t="s">
        <v>2722</v>
      </c>
      <c r="C2030" s="200">
        <v>213219532</v>
      </c>
      <c r="D2030" s="178" t="s">
        <v>1690</v>
      </c>
      <c r="E2030" s="180">
        <v>254498</v>
      </c>
      <c r="F2030" s="192">
        <v>0</v>
      </c>
    </row>
    <row r="2031" spans="1:6" ht="24">
      <c r="A2031" s="190">
        <v>540806</v>
      </c>
      <c r="B2031" s="176" t="s">
        <v>2722</v>
      </c>
      <c r="C2031" s="200">
        <v>213319533</v>
      </c>
      <c r="D2031" s="178" t="s">
        <v>1691</v>
      </c>
      <c r="E2031" s="180">
        <v>75527</v>
      </c>
      <c r="F2031" s="192">
        <v>0</v>
      </c>
    </row>
    <row r="2032" spans="1:6" ht="24">
      <c r="A2032" s="190">
        <v>540806</v>
      </c>
      <c r="B2032" s="176" t="s">
        <v>2722</v>
      </c>
      <c r="C2032" s="200">
        <v>214819548</v>
      </c>
      <c r="D2032" s="178" t="s">
        <v>1692</v>
      </c>
      <c r="E2032" s="180">
        <v>247007</v>
      </c>
      <c r="F2032" s="192">
        <v>0</v>
      </c>
    </row>
    <row r="2033" spans="1:6" ht="24">
      <c r="A2033" s="190">
        <v>540806</v>
      </c>
      <c r="B2033" s="176" t="s">
        <v>2722</v>
      </c>
      <c r="C2033" s="200">
        <v>217319573</v>
      </c>
      <c r="D2033" s="178" t="s">
        <v>1693</v>
      </c>
      <c r="E2033" s="180">
        <v>325343</v>
      </c>
      <c r="F2033" s="192">
        <v>0</v>
      </c>
    </row>
    <row r="2034" spans="1:6" ht="24">
      <c r="A2034" s="190">
        <v>540806</v>
      </c>
      <c r="B2034" s="176" t="s">
        <v>2722</v>
      </c>
      <c r="C2034" s="200">
        <v>218519585</v>
      </c>
      <c r="D2034" s="178" t="s">
        <v>1694</v>
      </c>
      <c r="E2034" s="180">
        <v>145994</v>
      </c>
      <c r="F2034" s="192">
        <v>0</v>
      </c>
    </row>
    <row r="2035" spans="1:6" ht="24">
      <c r="A2035" s="190">
        <v>540806</v>
      </c>
      <c r="B2035" s="176" t="s">
        <v>2722</v>
      </c>
      <c r="C2035" s="200">
        <v>212219622</v>
      </c>
      <c r="D2035" s="178" t="s">
        <v>1695</v>
      </c>
      <c r="E2035" s="180">
        <v>74500</v>
      </c>
      <c r="F2035" s="192">
        <v>0</v>
      </c>
    </row>
    <row r="2036" spans="1:6" ht="24">
      <c r="A2036" s="190">
        <v>540806</v>
      </c>
      <c r="B2036" s="176" t="s">
        <v>2722</v>
      </c>
      <c r="C2036" s="200">
        <v>219319693</v>
      </c>
      <c r="D2036" s="178" t="s">
        <v>1696</v>
      </c>
      <c r="E2036" s="180">
        <v>81520</v>
      </c>
      <c r="F2036" s="192">
        <v>0</v>
      </c>
    </row>
    <row r="2037" spans="1:6" ht="24">
      <c r="A2037" s="190">
        <v>540806</v>
      </c>
      <c r="B2037" s="176" t="s">
        <v>2722</v>
      </c>
      <c r="C2037" s="200">
        <v>219819698</v>
      </c>
      <c r="D2037" s="178" t="s">
        <v>1697</v>
      </c>
      <c r="E2037" s="180">
        <v>567838</v>
      </c>
      <c r="F2037" s="192">
        <v>0</v>
      </c>
    </row>
    <row r="2038" spans="1:6" ht="24">
      <c r="A2038" s="190">
        <v>540806</v>
      </c>
      <c r="B2038" s="176" t="s">
        <v>2722</v>
      </c>
      <c r="C2038" s="200">
        <v>210119701</v>
      </c>
      <c r="D2038" s="178" t="s">
        <v>1412</v>
      </c>
      <c r="E2038" s="180">
        <v>65738</v>
      </c>
      <c r="F2038" s="192">
        <v>0</v>
      </c>
    </row>
    <row r="2039" spans="1:6" ht="24">
      <c r="A2039" s="190">
        <v>540806</v>
      </c>
      <c r="B2039" s="176" t="s">
        <v>2722</v>
      </c>
      <c r="C2039" s="200">
        <v>214319743</v>
      </c>
      <c r="D2039" s="178" t="s">
        <v>1698</v>
      </c>
      <c r="E2039" s="180">
        <v>333295</v>
      </c>
      <c r="F2039" s="192">
        <v>0</v>
      </c>
    </row>
    <row r="2040" spans="1:6" ht="24">
      <c r="A2040" s="190">
        <v>540806</v>
      </c>
      <c r="B2040" s="176" t="s">
        <v>2722</v>
      </c>
      <c r="C2040" s="200">
        <v>216019760</v>
      </c>
      <c r="D2040" s="178" t="s">
        <v>1699</v>
      </c>
      <c r="E2040" s="180">
        <v>90416</v>
      </c>
      <c r="F2040" s="192">
        <v>0</v>
      </c>
    </row>
    <row r="2041" spans="1:6" ht="24">
      <c r="A2041" s="190">
        <v>540806</v>
      </c>
      <c r="B2041" s="176" t="s">
        <v>2722</v>
      </c>
      <c r="C2041" s="200">
        <v>218019780</v>
      </c>
      <c r="D2041" s="178" t="s">
        <v>1700</v>
      </c>
      <c r="E2041" s="180">
        <v>183038</v>
      </c>
      <c r="F2041" s="192">
        <v>0</v>
      </c>
    </row>
    <row r="2042" spans="1:6" ht="24">
      <c r="A2042" s="190">
        <v>540806</v>
      </c>
      <c r="B2042" s="176" t="s">
        <v>2722</v>
      </c>
      <c r="C2042" s="200">
        <v>218519785</v>
      </c>
      <c r="D2042" s="178" t="s">
        <v>1011</v>
      </c>
      <c r="E2042" s="180">
        <v>55924</v>
      </c>
      <c r="F2042" s="192">
        <v>0</v>
      </c>
    </row>
    <row r="2043" spans="1:6" ht="24">
      <c r="A2043" s="190">
        <v>540806</v>
      </c>
      <c r="B2043" s="176" t="s">
        <v>2722</v>
      </c>
      <c r="C2043" s="200">
        <v>210719807</v>
      </c>
      <c r="D2043" s="178" t="s">
        <v>1701</v>
      </c>
      <c r="E2043" s="180">
        <v>206458</v>
      </c>
      <c r="F2043" s="192">
        <v>0</v>
      </c>
    </row>
    <row r="2044" spans="1:6" ht="24">
      <c r="A2044" s="190">
        <v>540806</v>
      </c>
      <c r="B2044" s="176" t="s">
        <v>2722</v>
      </c>
      <c r="C2044" s="174">
        <v>210919809</v>
      </c>
      <c r="D2044" s="178" t="s">
        <v>1702</v>
      </c>
      <c r="E2044" s="180">
        <v>321985</v>
      </c>
      <c r="F2044" s="192">
        <v>0</v>
      </c>
    </row>
    <row r="2045" spans="1:6" ht="24">
      <c r="A2045" s="190">
        <v>540806</v>
      </c>
      <c r="B2045" s="176" t="s">
        <v>2722</v>
      </c>
      <c r="C2045" s="174">
        <v>212119821</v>
      </c>
      <c r="D2045" s="178" t="s">
        <v>1703</v>
      </c>
      <c r="E2045" s="180">
        <v>357063</v>
      </c>
      <c r="F2045" s="192">
        <v>0</v>
      </c>
    </row>
    <row r="2046" spans="1:6" ht="24">
      <c r="A2046" s="190">
        <v>540806</v>
      </c>
      <c r="B2046" s="176" t="s">
        <v>2722</v>
      </c>
      <c r="C2046" s="200">
        <v>212419824</v>
      </c>
      <c r="D2046" s="178" t="s">
        <v>1704</v>
      </c>
      <c r="E2046" s="180">
        <v>161707</v>
      </c>
      <c r="F2046" s="192">
        <v>0</v>
      </c>
    </row>
    <row r="2047" spans="1:6" ht="24">
      <c r="A2047" s="190">
        <v>540806</v>
      </c>
      <c r="B2047" s="176" t="s">
        <v>2722</v>
      </c>
      <c r="C2047" s="174">
        <v>214519845</v>
      </c>
      <c r="D2047" s="178" t="s">
        <v>1705</v>
      </c>
      <c r="E2047" s="180">
        <v>97345</v>
      </c>
      <c r="F2047" s="192">
        <v>0</v>
      </c>
    </row>
    <row r="2048" spans="1:6" ht="24">
      <c r="A2048" s="190">
        <v>540806</v>
      </c>
      <c r="B2048" s="176" t="s">
        <v>2722</v>
      </c>
      <c r="C2048" s="174" t="s">
        <v>1706</v>
      </c>
      <c r="D2048" s="178" t="s">
        <v>1707</v>
      </c>
      <c r="E2048" s="180">
        <v>694105</v>
      </c>
      <c r="F2048" s="192">
        <v>0</v>
      </c>
    </row>
    <row r="2049" spans="1:6" ht="24">
      <c r="A2049" s="190">
        <v>540806</v>
      </c>
      <c r="B2049" s="176" t="s">
        <v>2722</v>
      </c>
      <c r="C2049" s="174" t="s">
        <v>1708</v>
      </c>
      <c r="D2049" s="178" t="s">
        <v>1709</v>
      </c>
      <c r="E2049" s="180">
        <v>477313</v>
      </c>
      <c r="F2049" s="192">
        <v>0</v>
      </c>
    </row>
    <row r="2050" spans="1:6" ht="24">
      <c r="A2050" s="190">
        <v>540806</v>
      </c>
      <c r="B2050" s="176" t="s">
        <v>2722</v>
      </c>
      <c r="C2050" s="174" t="s">
        <v>1710</v>
      </c>
      <c r="D2050" s="178" t="s">
        <v>1711</v>
      </c>
      <c r="E2050" s="180">
        <v>221282</v>
      </c>
      <c r="F2050" s="192">
        <v>0</v>
      </c>
    </row>
    <row r="2051" spans="1:6" ht="24">
      <c r="A2051" s="190">
        <v>540806</v>
      </c>
      <c r="B2051" s="176" t="s">
        <v>2722</v>
      </c>
      <c r="C2051" s="174" t="s">
        <v>1712</v>
      </c>
      <c r="D2051" s="178" t="s">
        <v>1713</v>
      </c>
      <c r="E2051" s="180">
        <v>162041</v>
      </c>
      <c r="F2051" s="192">
        <v>0</v>
      </c>
    </row>
    <row r="2052" spans="1:6" ht="24">
      <c r="A2052" s="190">
        <v>540806</v>
      </c>
      <c r="B2052" s="176" t="s">
        <v>2722</v>
      </c>
      <c r="C2052" s="174" t="s">
        <v>1714</v>
      </c>
      <c r="D2052" s="178" t="s">
        <v>1715</v>
      </c>
      <c r="E2052" s="180">
        <v>238763</v>
      </c>
      <c r="F2052" s="192">
        <v>0</v>
      </c>
    </row>
    <row r="2053" spans="1:6" ht="24">
      <c r="A2053" s="190">
        <v>540806</v>
      </c>
      <c r="B2053" s="176" t="s">
        <v>2722</v>
      </c>
      <c r="C2053" s="174" t="s">
        <v>1716</v>
      </c>
      <c r="D2053" s="178" t="s">
        <v>1717</v>
      </c>
      <c r="E2053" s="180">
        <v>389702</v>
      </c>
      <c r="F2053" s="192">
        <v>0</v>
      </c>
    </row>
    <row r="2054" spans="1:6" ht="24">
      <c r="A2054" s="190">
        <v>540806</v>
      </c>
      <c r="B2054" s="176" t="s">
        <v>2722</v>
      </c>
      <c r="C2054" s="174">
        <v>217820178</v>
      </c>
      <c r="D2054" s="178" t="s">
        <v>1718</v>
      </c>
      <c r="E2054" s="180">
        <v>248266</v>
      </c>
      <c r="F2054" s="192">
        <v>0</v>
      </c>
    </row>
    <row r="2055" spans="1:6" ht="24">
      <c r="A2055" s="190">
        <v>540806</v>
      </c>
      <c r="B2055" s="176" t="s">
        <v>2722</v>
      </c>
      <c r="C2055" s="174" t="s">
        <v>1719</v>
      </c>
      <c r="D2055" s="178" t="s">
        <v>1720</v>
      </c>
      <c r="E2055" s="180">
        <v>312865</v>
      </c>
      <c r="F2055" s="192">
        <v>0</v>
      </c>
    </row>
    <row r="2056" spans="1:6" ht="24">
      <c r="A2056" s="190">
        <v>540806</v>
      </c>
      <c r="B2056" s="176" t="s">
        <v>2722</v>
      </c>
      <c r="C2056" s="200" t="s">
        <v>1721</v>
      </c>
      <c r="D2056" s="178" t="s">
        <v>1722</v>
      </c>
      <c r="E2056" s="180">
        <v>230043</v>
      </c>
      <c r="F2056" s="192">
        <v>0</v>
      </c>
    </row>
    <row r="2057" spans="1:6" ht="24">
      <c r="A2057" s="190">
        <v>540806</v>
      </c>
      <c r="B2057" s="176" t="s">
        <v>2722</v>
      </c>
      <c r="C2057" s="200" t="s">
        <v>1723</v>
      </c>
      <c r="D2057" s="178" t="s">
        <v>1724</v>
      </c>
      <c r="E2057" s="180">
        <v>232832</v>
      </c>
      <c r="F2057" s="192">
        <v>0</v>
      </c>
    </row>
    <row r="2058" spans="1:6" ht="24">
      <c r="A2058" s="190">
        <v>540806</v>
      </c>
      <c r="B2058" s="176" t="s">
        <v>2722</v>
      </c>
      <c r="C2058" s="174" t="s">
        <v>1725</v>
      </c>
      <c r="D2058" s="178" t="s">
        <v>1726</v>
      </c>
      <c r="E2058" s="180">
        <v>106163</v>
      </c>
      <c r="F2058" s="192">
        <v>0</v>
      </c>
    </row>
    <row r="2059" spans="1:6" ht="24">
      <c r="A2059" s="190">
        <v>540806</v>
      </c>
      <c r="B2059" s="176" t="s">
        <v>2722</v>
      </c>
      <c r="C2059" s="200" t="s">
        <v>1727</v>
      </c>
      <c r="D2059" s="178" t="s">
        <v>1728</v>
      </c>
      <c r="E2059" s="180">
        <v>40545</v>
      </c>
      <c r="F2059" s="192">
        <v>0</v>
      </c>
    </row>
    <row r="2060" spans="1:6" ht="24">
      <c r="A2060" s="190">
        <v>540806</v>
      </c>
      <c r="B2060" s="176" t="s">
        <v>2722</v>
      </c>
      <c r="C2060" s="174" t="s">
        <v>1729</v>
      </c>
      <c r="D2060" s="178" t="s">
        <v>1730</v>
      </c>
      <c r="E2060" s="180">
        <v>135699</v>
      </c>
      <c r="F2060" s="192">
        <v>0</v>
      </c>
    </row>
    <row r="2061" spans="1:6" ht="24">
      <c r="A2061" s="190">
        <v>540806</v>
      </c>
      <c r="B2061" s="176" t="s">
        <v>2722</v>
      </c>
      <c r="C2061" s="200" t="s">
        <v>1731</v>
      </c>
      <c r="D2061" s="178" t="s">
        <v>1732</v>
      </c>
      <c r="E2061" s="180">
        <v>264099</v>
      </c>
      <c r="F2061" s="192">
        <v>0</v>
      </c>
    </row>
    <row r="2062" spans="1:6" ht="24">
      <c r="A2062" s="190">
        <v>540806</v>
      </c>
      <c r="B2062" s="176" t="s">
        <v>2722</v>
      </c>
      <c r="C2062" s="200" t="s">
        <v>1733</v>
      </c>
      <c r="D2062" s="178" t="s">
        <v>1734</v>
      </c>
      <c r="E2062" s="180">
        <v>87108</v>
      </c>
      <c r="F2062" s="192">
        <v>0</v>
      </c>
    </row>
    <row r="2063" spans="1:6" ht="24">
      <c r="A2063" s="190">
        <v>540806</v>
      </c>
      <c r="B2063" s="176" t="s">
        <v>2722</v>
      </c>
      <c r="C2063" s="200" t="s">
        <v>1735</v>
      </c>
      <c r="D2063" s="178" t="s">
        <v>1736</v>
      </c>
      <c r="E2063" s="180">
        <v>148456</v>
      </c>
      <c r="F2063" s="192">
        <v>0</v>
      </c>
    </row>
    <row r="2064" spans="1:6" ht="24">
      <c r="A2064" s="190">
        <v>540806</v>
      </c>
      <c r="B2064" s="176" t="s">
        <v>2722</v>
      </c>
      <c r="C2064" s="174" t="s">
        <v>1737</v>
      </c>
      <c r="D2064" s="178" t="s">
        <v>1738</v>
      </c>
      <c r="E2064" s="180">
        <v>177964</v>
      </c>
      <c r="F2064" s="192">
        <v>0</v>
      </c>
    </row>
    <row r="2065" spans="1:6" ht="24">
      <c r="A2065" s="190">
        <v>540806</v>
      </c>
      <c r="B2065" s="176" t="s">
        <v>2722</v>
      </c>
      <c r="C2065" s="200" t="s">
        <v>1739</v>
      </c>
      <c r="D2065" s="178" t="s">
        <v>1740</v>
      </c>
      <c r="E2065" s="180">
        <v>207153</v>
      </c>
      <c r="F2065" s="192">
        <v>0</v>
      </c>
    </row>
    <row r="2066" spans="1:6" ht="24">
      <c r="A2066" s="190">
        <v>540806</v>
      </c>
      <c r="B2066" s="176" t="s">
        <v>2722</v>
      </c>
      <c r="C2066" s="200" t="s">
        <v>1741</v>
      </c>
      <c r="D2066" s="178" t="s">
        <v>1742</v>
      </c>
      <c r="E2066" s="180">
        <v>152322</v>
      </c>
      <c r="F2066" s="192">
        <v>0</v>
      </c>
    </row>
    <row r="2067" spans="1:6" ht="24">
      <c r="A2067" s="190">
        <v>540806</v>
      </c>
      <c r="B2067" s="176" t="s">
        <v>2722</v>
      </c>
      <c r="C2067" s="200" t="s">
        <v>1743</v>
      </c>
      <c r="D2067" s="178" t="s">
        <v>1744</v>
      </c>
      <c r="E2067" s="180">
        <v>223162</v>
      </c>
      <c r="F2067" s="192">
        <v>0</v>
      </c>
    </row>
    <row r="2068" spans="1:6" ht="24">
      <c r="A2068" s="190">
        <v>540806</v>
      </c>
      <c r="B2068" s="176" t="s">
        <v>2722</v>
      </c>
      <c r="C2068" s="200" t="s">
        <v>1745</v>
      </c>
      <c r="D2068" s="178" t="s">
        <v>1746</v>
      </c>
      <c r="E2068" s="180">
        <v>158836</v>
      </c>
      <c r="F2068" s="192">
        <v>0</v>
      </c>
    </row>
    <row r="2069" spans="1:6" ht="24">
      <c r="A2069" s="190">
        <v>540806</v>
      </c>
      <c r="B2069" s="176" t="s">
        <v>2722</v>
      </c>
      <c r="C2069" s="200" t="s">
        <v>1747</v>
      </c>
      <c r="D2069" s="178" t="s">
        <v>1748</v>
      </c>
      <c r="E2069" s="180">
        <v>121584</v>
      </c>
      <c r="F2069" s="192">
        <v>0</v>
      </c>
    </row>
    <row r="2070" spans="1:6" ht="24">
      <c r="A2070" s="190">
        <v>540806</v>
      </c>
      <c r="B2070" s="176" t="s">
        <v>2722</v>
      </c>
      <c r="C2070" s="200" t="s">
        <v>1749</v>
      </c>
      <c r="D2070" s="178" t="s">
        <v>1750</v>
      </c>
      <c r="E2070" s="180">
        <v>152443</v>
      </c>
      <c r="F2070" s="192">
        <v>0</v>
      </c>
    </row>
    <row r="2071" spans="1:6" ht="24">
      <c r="A2071" s="190">
        <v>540806</v>
      </c>
      <c r="B2071" s="176" t="s">
        <v>2722</v>
      </c>
      <c r="C2071" s="174" t="s">
        <v>1751</v>
      </c>
      <c r="D2071" s="178" t="s">
        <v>1752</v>
      </c>
      <c r="E2071" s="180">
        <v>177908</v>
      </c>
      <c r="F2071" s="192">
        <v>0</v>
      </c>
    </row>
    <row r="2072" spans="1:6" ht="24">
      <c r="A2072" s="190">
        <v>540806</v>
      </c>
      <c r="B2072" s="176" t="s">
        <v>2722</v>
      </c>
      <c r="C2072" s="200" t="s">
        <v>1753</v>
      </c>
      <c r="D2072" s="178" t="s">
        <v>1754</v>
      </c>
      <c r="E2072" s="180">
        <v>446299</v>
      </c>
      <c r="F2072" s="192">
        <v>0</v>
      </c>
    </row>
    <row r="2073" spans="1:6" ht="24">
      <c r="A2073" s="190">
        <v>540806</v>
      </c>
      <c r="B2073" s="176" t="s">
        <v>2722</v>
      </c>
      <c r="C2073" s="174" t="s">
        <v>1755</v>
      </c>
      <c r="D2073" s="178" t="s">
        <v>1448</v>
      </c>
      <c r="E2073" s="180">
        <v>198073</v>
      </c>
      <c r="F2073" s="192">
        <v>0</v>
      </c>
    </row>
    <row r="2074" spans="1:6" ht="24">
      <c r="A2074" s="190">
        <v>540806</v>
      </c>
      <c r="B2074" s="176" t="s">
        <v>2722</v>
      </c>
      <c r="C2074" s="200">
        <v>219023090</v>
      </c>
      <c r="D2074" s="178" t="s">
        <v>1756</v>
      </c>
      <c r="E2074" s="180">
        <v>219688</v>
      </c>
      <c r="F2074" s="192">
        <v>0</v>
      </c>
    </row>
    <row r="2075" spans="1:6" ht="24">
      <c r="A2075" s="190">
        <v>540806</v>
      </c>
      <c r="B2075" s="176" t="s">
        <v>2722</v>
      </c>
      <c r="C2075" s="200" t="s">
        <v>1757</v>
      </c>
      <c r="D2075" s="178" t="s">
        <v>1758</v>
      </c>
      <c r="E2075" s="180">
        <v>635859</v>
      </c>
      <c r="F2075" s="192">
        <v>0</v>
      </c>
    </row>
    <row r="2076" spans="1:6" ht="24">
      <c r="A2076" s="190">
        <v>540806</v>
      </c>
      <c r="B2076" s="176" t="s">
        <v>2722</v>
      </c>
      <c r="C2076" s="200" t="s">
        <v>1759</v>
      </c>
      <c r="D2076" s="178" t="s">
        <v>1760</v>
      </c>
      <c r="E2076" s="180">
        <v>117882</v>
      </c>
      <c r="F2076" s="192">
        <v>0</v>
      </c>
    </row>
    <row r="2077" spans="1:6" ht="24">
      <c r="A2077" s="190">
        <v>540806</v>
      </c>
      <c r="B2077" s="176" t="s">
        <v>2722</v>
      </c>
      <c r="C2077" s="200" t="s">
        <v>1761</v>
      </c>
      <c r="D2077" s="178" t="s">
        <v>1762</v>
      </c>
      <c r="E2077" s="180">
        <v>402956</v>
      </c>
      <c r="F2077" s="192">
        <v>0</v>
      </c>
    </row>
    <row r="2078" spans="1:6" ht="24">
      <c r="A2078" s="190">
        <v>540806</v>
      </c>
      <c r="B2078" s="176" t="s">
        <v>2722</v>
      </c>
      <c r="C2078" s="200">
        <v>218923189</v>
      </c>
      <c r="D2078" s="178" t="s">
        <v>1763</v>
      </c>
      <c r="E2078" s="180">
        <v>474953</v>
      </c>
      <c r="F2078" s="192">
        <v>0</v>
      </c>
    </row>
    <row r="2079" spans="1:6" ht="24">
      <c r="A2079" s="190">
        <v>540806</v>
      </c>
      <c r="B2079" s="176" t="s">
        <v>2722</v>
      </c>
      <c r="C2079" s="200" t="s">
        <v>1764</v>
      </c>
      <c r="D2079" s="178" t="s">
        <v>1765</v>
      </c>
      <c r="E2079" s="180">
        <v>156979</v>
      </c>
      <c r="F2079" s="192">
        <v>0</v>
      </c>
    </row>
    <row r="2080" spans="1:6" ht="24">
      <c r="A2080" s="190">
        <v>540806</v>
      </c>
      <c r="B2080" s="176" t="s">
        <v>2722</v>
      </c>
      <c r="C2080" s="200" t="s">
        <v>1766</v>
      </c>
      <c r="D2080" s="178" t="s">
        <v>1767</v>
      </c>
      <c r="E2080" s="180">
        <v>125185</v>
      </c>
      <c r="F2080" s="192">
        <v>0</v>
      </c>
    </row>
    <row r="2081" spans="1:6" ht="24">
      <c r="A2081" s="190">
        <v>540806</v>
      </c>
      <c r="B2081" s="176" t="s">
        <v>2722</v>
      </c>
      <c r="C2081" s="200" t="s">
        <v>1768</v>
      </c>
      <c r="D2081" s="178" t="s">
        <v>1769</v>
      </c>
      <c r="E2081" s="180">
        <v>192507</v>
      </c>
      <c r="F2081" s="192">
        <v>0</v>
      </c>
    </row>
    <row r="2082" spans="1:6" ht="24">
      <c r="A2082" s="190">
        <v>540806</v>
      </c>
      <c r="B2082" s="176" t="s">
        <v>2722</v>
      </c>
      <c r="C2082" s="200" t="s">
        <v>1770</v>
      </c>
      <c r="D2082" s="178" t="s">
        <v>1771</v>
      </c>
      <c r="E2082" s="180">
        <v>151735</v>
      </c>
      <c r="F2082" s="192">
        <v>0</v>
      </c>
    </row>
    <row r="2083" spans="1:6" ht="24">
      <c r="A2083" s="190">
        <v>540806</v>
      </c>
      <c r="B2083" s="176" t="s">
        <v>2722</v>
      </c>
      <c r="C2083" s="200" t="s">
        <v>1772</v>
      </c>
      <c r="D2083" s="178" t="s">
        <v>1773</v>
      </c>
      <c r="E2083" s="180">
        <v>646729</v>
      </c>
      <c r="F2083" s="192">
        <v>0</v>
      </c>
    </row>
    <row r="2084" spans="1:6" ht="24">
      <c r="A2084" s="190">
        <v>540806</v>
      </c>
      <c r="B2084" s="176" t="s">
        <v>2722</v>
      </c>
      <c r="C2084" s="200" t="s">
        <v>1774</v>
      </c>
      <c r="D2084" s="178" t="s">
        <v>1775</v>
      </c>
      <c r="E2084" s="180">
        <v>343591</v>
      </c>
      <c r="F2084" s="192">
        <v>0</v>
      </c>
    </row>
    <row r="2085" spans="1:6" ht="24">
      <c r="A2085" s="190">
        <v>540806</v>
      </c>
      <c r="B2085" s="176" t="s">
        <v>2722</v>
      </c>
      <c r="C2085" s="200" t="s">
        <v>1776</v>
      </c>
      <c r="D2085" s="178" t="s">
        <v>1777</v>
      </c>
      <c r="E2085" s="180">
        <v>568600</v>
      </c>
      <c r="F2085" s="192">
        <v>0</v>
      </c>
    </row>
    <row r="2086" spans="1:6" ht="24">
      <c r="A2086" s="190">
        <v>540806</v>
      </c>
      <c r="B2086" s="176" t="s">
        <v>2722</v>
      </c>
      <c r="C2086" s="200">
        <v>217023570</v>
      </c>
      <c r="D2086" s="178" t="s">
        <v>1778</v>
      </c>
      <c r="E2086" s="180">
        <v>302828</v>
      </c>
      <c r="F2086" s="192">
        <v>0</v>
      </c>
    </row>
    <row r="2087" spans="1:6" ht="24">
      <c r="A2087" s="190">
        <v>540806</v>
      </c>
      <c r="B2087" s="176" t="s">
        <v>2722</v>
      </c>
      <c r="C2087" s="200">
        <v>217423574</v>
      </c>
      <c r="D2087" s="178" t="s">
        <v>1779</v>
      </c>
      <c r="E2087" s="180">
        <v>257486</v>
      </c>
      <c r="F2087" s="192">
        <v>0</v>
      </c>
    </row>
    <row r="2088" spans="1:6" ht="24">
      <c r="A2088" s="190">
        <v>540806</v>
      </c>
      <c r="B2088" s="176" t="s">
        <v>2722</v>
      </c>
      <c r="C2088" s="200">
        <v>218023580</v>
      </c>
      <c r="D2088" s="178" t="s">
        <v>1780</v>
      </c>
      <c r="E2088" s="180">
        <v>378800</v>
      </c>
      <c r="F2088" s="192">
        <v>0</v>
      </c>
    </row>
    <row r="2089" spans="1:6" ht="24">
      <c r="A2089" s="190">
        <v>540806</v>
      </c>
      <c r="B2089" s="176" t="s">
        <v>2722</v>
      </c>
      <c r="C2089" s="200">
        <v>218623586</v>
      </c>
      <c r="D2089" s="178" t="s">
        <v>1781</v>
      </c>
      <c r="E2089" s="180">
        <v>168423</v>
      </c>
      <c r="F2089" s="192">
        <v>0</v>
      </c>
    </row>
    <row r="2090" spans="1:6" ht="24">
      <c r="A2090" s="190">
        <v>540806</v>
      </c>
      <c r="B2090" s="176" t="s">
        <v>2722</v>
      </c>
      <c r="C2090" s="200" t="s">
        <v>1782</v>
      </c>
      <c r="D2090" s="178" t="s">
        <v>1783</v>
      </c>
      <c r="E2090" s="180">
        <v>724635</v>
      </c>
      <c r="F2090" s="192">
        <v>0</v>
      </c>
    </row>
    <row r="2091" spans="1:6" ht="24">
      <c r="A2091" s="190">
        <v>540806</v>
      </c>
      <c r="B2091" s="176" t="s">
        <v>2722</v>
      </c>
      <c r="C2091" s="200" t="s">
        <v>1784</v>
      </c>
      <c r="D2091" s="178" t="s">
        <v>1785</v>
      </c>
      <c r="E2091" s="180">
        <v>365828</v>
      </c>
      <c r="F2091" s="192">
        <v>0</v>
      </c>
    </row>
    <row r="2092" spans="1:6" ht="24">
      <c r="A2092" s="190">
        <v>540806</v>
      </c>
      <c r="B2092" s="176" t="s">
        <v>2722</v>
      </c>
      <c r="C2092" s="200" t="s">
        <v>1786</v>
      </c>
      <c r="D2092" s="178" t="s">
        <v>1787</v>
      </c>
      <c r="E2092" s="180">
        <v>345168</v>
      </c>
      <c r="F2092" s="192">
        <v>0</v>
      </c>
    </row>
    <row r="2093" spans="1:6" ht="24">
      <c r="A2093" s="190">
        <v>540806</v>
      </c>
      <c r="B2093" s="176" t="s">
        <v>2722</v>
      </c>
      <c r="C2093" s="200" t="s">
        <v>1788</v>
      </c>
      <c r="D2093" s="178" t="s">
        <v>1247</v>
      </c>
      <c r="E2093" s="180">
        <v>256128</v>
      </c>
      <c r="F2093" s="192">
        <v>0</v>
      </c>
    </row>
    <row r="2094" spans="1:6" ht="24">
      <c r="A2094" s="190">
        <v>540806</v>
      </c>
      <c r="B2094" s="176" t="s">
        <v>2722</v>
      </c>
      <c r="C2094" s="200" t="s">
        <v>1789</v>
      </c>
      <c r="D2094" s="178" t="s">
        <v>1790</v>
      </c>
      <c r="E2094" s="180">
        <v>390234</v>
      </c>
      <c r="F2094" s="192">
        <v>0</v>
      </c>
    </row>
    <row r="2095" spans="1:6" ht="24">
      <c r="A2095" s="190">
        <v>540806</v>
      </c>
      <c r="B2095" s="176" t="s">
        <v>2722</v>
      </c>
      <c r="C2095" s="200" t="s">
        <v>1791</v>
      </c>
      <c r="D2095" s="178" t="s">
        <v>1792</v>
      </c>
      <c r="E2095" s="180">
        <v>868278</v>
      </c>
      <c r="F2095" s="192">
        <v>0</v>
      </c>
    </row>
    <row r="2096" spans="1:6" ht="24">
      <c r="A2096" s="190">
        <v>540806</v>
      </c>
      <c r="B2096" s="176" t="s">
        <v>2722</v>
      </c>
      <c r="C2096" s="200" t="s">
        <v>1793</v>
      </c>
      <c r="D2096" s="178" t="s">
        <v>1794</v>
      </c>
      <c r="E2096" s="180">
        <v>396584</v>
      </c>
      <c r="F2096" s="192">
        <v>0</v>
      </c>
    </row>
    <row r="2097" spans="1:6" ht="24">
      <c r="A2097" s="190">
        <v>540806</v>
      </c>
      <c r="B2097" s="176" t="s">
        <v>2722</v>
      </c>
      <c r="C2097" s="200" t="s">
        <v>1795</v>
      </c>
      <c r="D2097" s="178" t="s">
        <v>1796</v>
      </c>
      <c r="E2097" s="180">
        <v>78716</v>
      </c>
      <c r="F2097" s="192">
        <v>0</v>
      </c>
    </row>
    <row r="2098" spans="1:6" ht="24">
      <c r="A2098" s="190">
        <v>540806</v>
      </c>
      <c r="B2098" s="176" t="s">
        <v>2722</v>
      </c>
      <c r="C2098" s="200" t="s">
        <v>1797</v>
      </c>
      <c r="D2098" s="178" t="s">
        <v>1798</v>
      </c>
      <c r="E2098" s="180">
        <v>50349</v>
      </c>
      <c r="F2098" s="192">
        <v>0</v>
      </c>
    </row>
    <row r="2099" spans="1:6" ht="24">
      <c r="A2099" s="190">
        <v>540806</v>
      </c>
      <c r="B2099" s="176" t="s">
        <v>2722</v>
      </c>
      <c r="C2099" s="200" t="s">
        <v>1799</v>
      </c>
      <c r="D2099" s="178" t="s">
        <v>1800</v>
      </c>
      <c r="E2099" s="180">
        <v>70000</v>
      </c>
      <c r="F2099" s="192">
        <v>0</v>
      </c>
    </row>
    <row r="2100" spans="1:6" ht="24">
      <c r="A2100" s="190">
        <v>540806</v>
      </c>
      <c r="B2100" s="176" t="s">
        <v>2722</v>
      </c>
      <c r="C2100" s="200" t="s">
        <v>1801</v>
      </c>
      <c r="D2100" s="178" t="s">
        <v>1802</v>
      </c>
      <c r="E2100" s="180">
        <v>114900</v>
      </c>
      <c r="F2100" s="192">
        <v>0</v>
      </c>
    </row>
    <row r="2101" spans="1:6" ht="24">
      <c r="A2101" s="190">
        <v>540806</v>
      </c>
      <c r="B2101" s="176" t="s">
        <v>2722</v>
      </c>
      <c r="C2101" s="200" t="s">
        <v>1803</v>
      </c>
      <c r="D2101" s="178" t="s">
        <v>1804</v>
      </c>
      <c r="E2101" s="180">
        <v>89135</v>
      </c>
      <c r="F2101" s="192">
        <v>0</v>
      </c>
    </row>
    <row r="2102" spans="1:6" ht="24">
      <c r="A2102" s="190">
        <v>540806</v>
      </c>
      <c r="B2102" s="176" t="s">
        <v>2722</v>
      </c>
      <c r="C2102" s="200" t="s">
        <v>1805</v>
      </c>
      <c r="D2102" s="178" t="s">
        <v>1806</v>
      </c>
      <c r="E2102" s="180">
        <v>19590</v>
      </c>
      <c r="F2102" s="192">
        <v>0</v>
      </c>
    </row>
    <row r="2103" spans="1:6" ht="24">
      <c r="A2103" s="190">
        <v>540806</v>
      </c>
      <c r="B2103" s="176" t="s">
        <v>2722</v>
      </c>
      <c r="C2103" s="200" t="s">
        <v>1807</v>
      </c>
      <c r="D2103" s="178" t="s">
        <v>1808</v>
      </c>
      <c r="E2103" s="180">
        <v>18743</v>
      </c>
      <c r="F2103" s="192">
        <v>0</v>
      </c>
    </row>
    <row r="2104" spans="1:6" ht="24">
      <c r="A2104" s="190">
        <v>540806</v>
      </c>
      <c r="B2104" s="176" t="s">
        <v>2722</v>
      </c>
      <c r="C2104" s="200" t="s">
        <v>1809</v>
      </c>
      <c r="D2104" s="178" t="s">
        <v>1810</v>
      </c>
      <c r="E2104" s="180">
        <v>54891</v>
      </c>
      <c r="F2104" s="192">
        <v>0</v>
      </c>
    </row>
    <row r="2105" spans="1:6" ht="24">
      <c r="A2105" s="190">
        <v>540806</v>
      </c>
      <c r="B2105" s="176" t="s">
        <v>2722</v>
      </c>
      <c r="C2105" s="200" t="s">
        <v>1811</v>
      </c>
      <c r="D2105" s="178" t="s">
        <v>1812</v>
      </c>
      <c r="E2105" s="180">
        <v>37877</v>
      </c>
      <c r="F2105" s="192">
        <v>0</v>
      </c>
    </row>
    <row r="2106" spans="1:6" ht="24">
      <c r="A2106" s="190">
        <v>540806</v>
      </c>
      <c r="B2106" s="176" t="s">
        <v>2722</v>
      </c>
      <c r="C2106" s="200" t="s">
        <v>1813</v>
      </c>
      <c r="D2106" s="178" t="s">
        <v>1814</v>
      </c>
      <c r="E2106" s="180">
        <v>49138</v>
      </c>
      <c r="F2106" s="192">
        <v>0</v>
      </c>
    </row>
    <row r="2107" spans="1:6" ht="24">
      <c r="A2107" s="190">
        <v>540806</v>
      </c>
      <c r="B2107" s="176" t="s">
        <v>2722</v>
      </c>
      <c r="C2107" s="200" t="s">
        <v>1815</v>
      </c>
      <c r="D2107" s="178" t="s">
        <v>1816</v>
      </c>
      <c r="E2107" s="180">
        <v>276438</v>
      </c>
      <c r="F2107" s="192">
        <v>0</v>
      </c>
    </row>
    <row r="2108" spans="1:6" ht="24">
      <c r="A2108" s="190">
        <v>540806</v>
      </c>
      <c r="B2108" s="176" t="s">
        <v>2722</v>
      </c>
      <c r="C2108" s="200" t="s">
        <v>1817</v>
      </c>
      <c r="D2108" s="178" t="s">
        <v>1818</v>
      </c>
      <c r="E2108" s="180">
        <v>106754</v>
      </c>
      <c r="F2108" s="192">
        <v>0</v>
      </c>
    </row>
    <row r="2109" spans="1:6" ht="24">
      <c r="A2109" s="190">
        <v>540806</v>
      </c>
      <c r="B2109" s="176" t="s">
        <v>2722</v>
      </c>
      <c r="C2109" s="200" t="s">
        <v>1819</v>
      </c>
      <c r="D2109" s="178" t="s">
        <v>1820</v>
      </c>
      <c r="E2109" s="180">
        <v>119684</v>
      </c>
      <c r="F2109" s="192">
        <v>0</v>
      </c>
    </row>
    <row r="2110" spans="1:6" ht="24">
      <c r="A2110" s="190">
        <v>540806</v>
      </c>
      <c r="B2110" s="176" t="s">
        <v>2722</v>
      </c>
      <c r="C2110" s="200" t="s">
        <v>1821</v>
      </c>
      <c r="D2110" s="178" t="s">
        <v>1822</v>
      </c>
      <c r="E2110" s="180">
        <v>47506</v>
      </c>
      <c r="F2110" s="192">
        <v>0</v>
      </c>
    </row>
    <row r="2111" spans="1:6" ht="24">
      <c r="A2111" s="190">
        <v>540806</v>
      </c>
      <c r="B2111" s="176" t="s">
        <v>2722</v>
      </c>
      <c r="C2111" s="200" t="s">
        <v>1823</v>
      </c>
      <c r="D2111" s="178" t="s">
        <v>1824</v>
      </c>
      <c r="E2111" s="180">
        <v>27311</v>
      </c>
      <c r="F2111" s="192">
        <v>0</v>
      </c>
    </row>
    <row r="2112" spans="1:6" ht="24">
      <c r="A2112" s="190">
        <v>540806</v>
      </c>
      <c r="B2112" s="176" t="s">
        <v>2722</v>
      </c>
      <c r="C2112" s="200" t="s">
        <v>1825</v>
      </c>
      <c r="D2112" s="178" t="s">
        <v>1826</v>
      </c>
      <c r="E2112" s="180">
        <v>457012</v>
      </c>
      <c r="F2112" s="192">
        <v>0</v>
      </c>
    </row>
    <row r="2113" spans="1:6" ht="24">
      <c r="A2113" s="190">
        <v>540806</v>
      </c>
      <c r="B2113" s="176" t="s">
        <v>2722</v>
      </c>
      <c r="C2113" s="200" t="s">
        <v>1827</v>
      </c>
      <c r="D2113" s="178" t="s">
        <v>1828</v>
      </c>
      <c r="E2113" s="180">
        <v>58043</v>
      </c>
      <c r="F2113" s="192">
        <v>0</v>
      </c>
    </row>
    <row r="2114" spans="1:6" ht="24">
      <c r="A2114" s="190">
        <v>540806</v>
      </c>
      <c r="B2114" s="176" t="s">
        <v>2722</v>
      </c>
      <c r="C2114" s="200" t="s">
        <v>1829</v>
      </c>
      <c r="D2114" s="178" t="s">
        <v>1830</v>
      </c>
      <c r="E2114" s="180">
        <v>84106</v>
      </c>
      <c r="F2114" s="192">
        <v>0</v>
      </c>
    </row>
    <row r="2115" spans="1:6" ht="24">
      <c r="A2115" s="190">
        <v>540806</v>
      </c>
      <c r="B2115" s="176" t="s">
        <v>2722</v>
      </c>
      <c r="C2115" s="200" t="s">
        <v>1831</v>
      </c>
      <c r="D2115" s="178" t="s">
        <v>1832</v>
      </c>
      <c r="E2115" s="180">
        <v>140907</v>
      </c>
      <c r="F2115" s="192">
        <v>0</v>
      </c>
    </row>
    <row r="2116" spans="1:6" ht="24">
      <c r="A2116" s="190">
        <v>540806</v>
      </c>
      <c r="B2116" s="176" t="s">
        <v>2722</v>
      </c>
      <c r="C2116" s="200" t="s">
        <v>1833</v>
      </c>
      <c r="D2116" s="178" t="s">
        <v>1834</v>
      </c>
      <c r="E2116" s="180">
        <v>109503</v>
      </c>
      <c r="F2116" s="192">
        <v>0</v>
      </c>
    </row>
    <row r="2117" spans="1:6" ht="24">
      <c r="A2117" s="190">
        <v>540806</v>
      </c>
      <c r="B2117" s="176" t="s">
        <v>2722</v>
      </c>
      <c r="C2117" s="200" t="s">
        <v>1835</v>
      </c>
      <c r="D2117" s="178" t="s">
        <v>1836</v>
      </c>
      <c r="E2117" s="180">
        <v>99239</v>
      </c>
      <c r="F2117" s="192">
        <v>0</v>
      </c>
    </row>
    <row r="2118" spans="1:6" ht="24">
      <c r="A2118" s="190">
        <v>540806</v>
      </c>
      <c r="B2118" s="176" t="s">
        <v>2722</v>
      </c>
      <c r="C2118" s="200" t="s">
        <v>1837</v>
      </c>
      <c r="D2118" s="178" t="s">
        <v>1838</v>
      </c>
      <c r="E2118" s="180">
        <v>49502</v>
      </c>
      <c r="F2118" s="192">
        <v>0</v>
      </c>
    </row>
    <row r="2119" spans="1:6" ht="24">
      <c r="A2119" s="190">
        <v>540806</v>
      </c>
      <c r="B2119" s="176" t="s">
        <v>2722</v>
      </c>
      <c r="C2119" s="200" t="s">
        <v>1839</v>
      </c>
      <c r="D2119" s="178" t="s">
        <v>1840</v>
      </c>
      <c r="E2119" s="180">
        <v>161673</v>
      </c>
      <c r="F2119" s="192">
        <v>0</v>
      </c>
    </row>
    <row r="2120" spans="1:6" ht="24">
      <c r="A2120" s="190">
        <v>540806</v>
      </c>
      <c r="B2120" s="176" t="s">
        <v>2722</v>
      </c>
      <c r="C2120" s="200">
        <v>215825258</v>
      </c>
      <c r="D2120" s="178" t="s">
        <v>1379</v>
      </c>
      <c r="E2120" s="180">
        <v>44181</v>
      </c>
      <c r="F2120" s="192">
        <v>0</v>
      </c>
    </row>
    <row r="2121" spans="1:6" ht="24">
      <c r="A2121" s="190">
        <v>540806</v>
      </c>
      <c r="B2121" s="176" t="s">
        <v>2722</v>
      </c>
      <c r="C2121" s="200" t="s">
        <v>1841</v>
      </c>
      <c r="D2121" s="178" t="s">
        <v>1842</v>
      </c>
      <c r="E2121" s="180">
        <v>75265</v>
      </c>
      <c r="F2121" s="192">
        <v>0</v>
      </c>
    </row>
    <row r="2122" spans="1:6" ht="24">
      <c r="A2122" s="190">
        <v>540806</v>
      </c>
      <c r="B2122" s="176" t="s">
        <v>2722</v>
      </c>
      <c r="C2122" s="200" t="s">
        <v>1843</v>
      </c>
      <c r="D2122" s="178" t="s">
        <v>1844</v>
      </c>
      <c r="E2122" s="180">
        <v>646357</v>
      </c>
      <c r="F2122" s="192">
        <v>0</v>
      </c>
    </row>
    <row r="2123" spans="1:6" ht="24">
      <c r="A2123" s="190">
        <v>540806</v>
      </c>
      <c r="B2123" s="176" t="s">
        <v>2722</v>
      </c>
      <c r="C2123" s="200" t="s">
        <v>1845</v>
      </c>
      <c r="D2123" s="178" t="s">
        <v>1846</v>
      </c>
      <c r="E2123" s="180">
        <v>74752</v>
      </c>
      <c r="F2123" s="192">
        <v>0</v>
      </c>
    </row>
    <row r="2124" spans="1:6" ht="24">
      <c r="A2124" s="190">
        <v>540806</v>
      </c>
      <c r="B2124" s="176" t="s">
        <v>2722</v>
      </c>
      <c r="C2124" s="200">
        <v>218125281</v>
      </c>
      <c r="D2124" s="178" t="s">
        <v>1847</v>
      </c>
      <c r="E2124" s="180">
        <v>44086</v>
      </c>
      <c r="F2124" s="192">
        <v>0</v>
      </c>
    </row>
    <row r="2125" spans="1:6" ht="24">
      <c r="A2125" s="190">
        <v>540806</v>
      </c>
      <c r="B2125" s="176" t="s">
        <v>2722</v>
      </c>
      <c r="C2125" s="200" t="s">
        <v>1848</v>
      </c>
      <c r="D2125" s="178" t="s">
        <v>1849</v>
      </c>
      <c r="E2125" s="180">
        <v>284494</v>
      </c>
      <c r="F2125" s="192">
        <v>0</v>
      </c>
    </row>
    <row r="2126" spans="1:6" ht="24">
      <c r="A2126" s="190">
        <v>540806</v>
      </c>
      <c r="B2126" s="176" t="s">
        <v>2722</v>
      </c>
      <c r="C2126" s="200" t="s">
        <v>1850</v>
      </c>
      <c r="D2126" s="178" t="s">
        <v>1851</v>
      </c>
      <c r="E2126" s="180">
        <v>45081</v>
      </c>
      <c r="F2126" s="192">
        <v>0</v>
      </c>
    </row>
    <row r="2127" spans="1:6" ht="24">
      <c r="A2127" s="190">
        <v>540806</v>
      </c>
      <c r="B2127" s="176" t="s">
        <v>2722</v>
      </c>
      <c r="C2127" s="200" t="s">
        <v>1852</v>
      </c>
      <c r="D2127" s="178" t="s">
        <v>1853</v>
      </c>
      <c r="E2127" s="180">
        <v>45779</v>
      </c>
      <c r="F2127" s="192">
        <v>0</v>
      </c>
    </row>
    <row r="2128" spans="1:6" ht="24">
      <c r="A2128" s="190">
        <v>540806</v>
      </c>
      <c r="B2128" s="176" t="s">
        <v>2722</v>
      </c>
      <c r="C2128" s="200">
        <v>219525295</v>
      </c>
      <c r="D2128" s="178" t="s">
        <v>1854</v>
      </c>
      <c r="E2128" s="180">
        <v>68574</v>
      </c>
      <c r="F2128" s="192">
        <v>0</v>
      </c>
    </row>
    <row r="2129" spans="1:6" ht="24">
      <c r="A2129" s="190">
        <v>540806</v>
      </c>
      <c r="B2129" s="176" t="s">
        <v>2722</v>
      </c>
      <c r="C2129" s="200" t="s">
        <v>1855</v>
      </c>
      <c r="D2129" s="178" t="s">
        <v>1856</v>
      </c>
      <c r="E2129" s="180">
        <v>81718</v>
      </c>
      <c r="F2129" s="192">
        <v>0</v>
      </c>
    </row>
    <row r="2130" spans="1:6" ht="24">
      <c r="A2130" s="190">
        <v>540806</v>
      </c>
      <c r="B2130" s="176" t="s">
        <v>2722</v>
      </c>
      <c r="C2130" s="200" t="s">
        <v>1857</v>
      </c>
      <c r="D2130" s="178" t="s">
        <v>1858</v>
      </c>
      <c r="E2130" s="180">
        <v>23223</v>
      </c>
      <c r="F2130" s="192">
        <v>0</v>
      </c>
    </row>
    <row r="2131" spans="1:6" ht="24">
      <c r="A2131" s="190">
        <v>540806</v>
      </c>
      <c r="B2131" s="176" t="s">
        <v>2722</v>
      </c>
      <c r="C2131" s="200" t="s">
        <v>1859</v>
      </c>
      <c r="D2131" s="178" t="s">
        <v>1179</v>
      </c>
      <c r="E2131" s="180">
        <v>47746</v>
      </c>
      <c r="F2131" s="192">
        <v>0</v>
      </c>
    </row>
    <row r="2132" spans="1:6" ht="24">
      <c r="A2132" s="190">
        <v>540806</v>
      </c>
      <c r="B2132" s="176" t="s">
        <v>2722</v>
      </c>
      <c r="C2132" s="200" t="s">
        <v>1860</v>
      </c>
      <c r="D2132" s="178" t="s">
        <v>1861</v>
      </c>
      <c r="E2132" s="180">
        <v>87378</v>
      </c>
      <c r="F2132" s="192">
        <v>0</v>
      </c>
    </row>
    <row r="2133" spans="1:6" ht="24">
      <c r="A2133" s="190">
        <v>540806</v>
      </c>
      <c r="B2133" s="176" t="s">
        <v>2722</v>
      </c>
      <c r="C2133" s="200" t="s">
        <v>1862</v>
      </c>
      <c r="D2133" s="178" t="s">
        <v>1863</v>
      </c>
      <c r="E2133" s="180">
        <v>174451</v>
      </c>
      <c r="F2133" s="192">
        <v>0</v>
      </c>
    </row>
    <row r="2134" spans="1:6" ht="24">
      <c r="A2134" s="190">
        <v>540806</v>
      </c>
      <c r="B2134" s="176" t="s">
        <v>2722</v>
      </c>
      <c r="C2134" s="200" t="s">
        <v>1864</v>
      </c>
      <c r="D2134" s="178" t="s">
        <v>1865</v>
      </c>
      <c r="E2134" s="180">
        <v>117316</v>
      </c>
      <c r="F2134" s="192">
        <v>0</v>
      </c>
    </row>
    <row r="2135" spans="1:6" ht="24">
      <c r="A2135" s="190">
        <v>540806</v>
      </c>
      <c r="B2135" s="176" t="s">
        <v>2722</v>
      </c>
      <c r="C2135" s="200" t="s">
        <v>1866</v>
      </c>
      <c r="D2135" s="178" t="s">
        <v>1867</v>
      </c>
      <c r="E2135" s="180">
        <v>25283</v>
      </c>
      <c r="F2135" s="192">
        <v>0</v>
      </c>
    </row>
    <row r="2136" spans="1:6" ht="24">
      <c r="A2136" s="190">
        <v>540806</v>
      </c>
      <c r="B2136" s="176" t="s">
        <v>2722</v>
      </c>
      <c r="C2136" s="200" t="s">
        <v>1868</v>
      </c>
      <c r="D2136" s="178" t="s">
        <v>1869</v>
      </c>
      <c r="E2136" s="180">
        <v>37935</v>
      </c>
      <c r="F2136" s="192">
        <v>0</v>
      </c>
    </row>
    <row r="2137" spans="1:6" ht="24">
      <c r="A2137" s="190">
        <v>540806</v>
      </c>
      <c r="B2137" s="176" t="s">
        <v>2722</v>
      </c>
      <c r="C2137" s="200">
        <v>212825328</v>
      </c>
      <c r="D2137" s="178" t="s">
        <v>1870</v>
      </c>
      <c r="E2137" s="180">
        <v>28673</v>
      </c>
      <c r="F2137" s="192">
        <v>0</v>
      </c>
    </row>
    <row r="2138" spans="1:6" ht="24">
      <c r="A2138" s="190">
        <v>540806</v>
      </c>
      <c r="B2138" s="176" t="s">
        <v>2722</v>
      </c>
      <c r="C2138" s="200" t="s">
        <v>1871</v>
      </c>
      <c r="D2138" s="178" t="s">
        <v>1872</v>
      </c>
      <c r="E2138" s="180">
        <v>42083</v>
      </c>
      <c r="F2138" s="192">
        <v>0</v>
      </c>
    </row>
    <row r="2139" spans="1:6" ht="24">
      <c r="A2139" s="190">
        <v>540806</v>
      </c>
      <c r="B2139" s="176" t="s">
        <v>2722</v>
      </c>
      <c r="C2139" s="174" t="s">
        <v>1873</v>
      </c>
      <c r="D2139" s="178" t="s">
        <v>1874</v>
      </c>
      <c r="E2139" s="180">
        <v>32989</v>
      </c>
      <c r="F2139" s="192">
        <v>0</v>
      </c>
    </row>
    <row r="2140" spans="1:6" ht="24">
      <c r="A2140" s="190">
        <v>540806</v>
      </c>
      <c r="B2140" s="176" t="s">
        <v>2722</v>
      </c>
      <c r="C2140" s="200" t="s">
        <v>1875</v>
      </c>
      <c r="D2140" s="178" t="s">
        <v>1876</v>
      </c>
      <c r="E2140" s="180">
        <v>23089</v>
      </c>
      <c r="F2140" s="192">
        <v>0</v>
      </c>
    </row>
    <row r="2141" spans="1:6" ht="24">
      <c r="A2141" s="190">
        <v>540806</v>
      </c>
      <c r="B2141" s="176" t="s">
        <v>2722</v>
      </c>
      <c r="C2141" s="174" t="s">
        <v>1877</v>
      </c>
      <c r="D2141" s="178" t="s">
        <v>1878</v>
      </c>
      <c r="E2141" s="180">
        <v>60432</v>
      </c>
      <c r="F2141" s="192">
        <v>0</v>
      </c>
    </row>
    <row r="2142" spans="1:6" ht="24">
      <c r="A2142" s="190">
        <v>540806</v>
      </c>
      <c r="B2142" s="176" t="s">
        <v>2722</v>
      </c>
      <c r="C2142" s="174" t="s">
        <v>1879</v>
      </c>
      <c r="D2142" s="178" t="s">
        <v>1880</v>
      </c>
      <c r="E2142" s="180">
        <v>117313</v>
      </c>
      <c r="F2142" s="192">
        <v>0</v>
      </c>
    </row>
    <row r="2143" spans="1:6" ht="24">
      <c r="A2143" s="190">
        <v>540806</v>
      </c>
      <c r="B2143" s="176" t="s">
        <v>2722</v>
      </c>
      <c r="C2143" s="174" t="s">
        <v>1881</v>
      </c>
      <c r="D2143" s="178" t="s">
        <v>1882</v>
      </c>
      <c r="E2143" s="180">
        <v>176634</v>
      </c>
      <c r="F2143" s="192">
        <v>0</v>
      </c>
    </row>
    <row r="2144" spans="1:6" ht="24">
      <c r="A2144" s="190">
        <v>540806</v>
      </c>
      <c r="B2144" s="176" t="s">
        <v>2722</v>
      </c>
      <c r="C2144" s="174" t="s">
        <v>1883</v>
      </c>
      <c r="D2144" s="178" t="s">
        <v>1884</v>
      </c>
      <c r="E2144" s="180">
        <v>76036</v>
      </c>
      <c r="F2144" s="192">
        <v>0</v>
      </c>
    </row>
    <row r="2145" spans="1:6" ht="24">
      <c r="A2145" s="190">
        <v>540806</v>
      </c>
      <c r="B2145" s="176" t="s">
        <v>2722</v>
      </c>
      <c r="C2145" s="174" t="s">
        <v>1885</v>
      </c>
      <c r="D2145" s="178" t="s">
        <v>1886</v>
      </c>
      <c r="E2145" s="180">
        <v>48961</v>
      </c>
      <c r="F2145" s="192">
        <v>0</v>
      </c>
    </row>
    <row r="2146" spans="1:6" ht="24">
      <c r="A2146" s="190">
        <v>540806</v>
      </c>
      <c r="B2146" s="176" t="s">
        <v>2722</v>
      </c>
      <c r="C2146" s="174" t="s">
        <v>1887</v>
      </c>
      <c r="D2146" s="178" t="s">
        <v>1685</v>
      </c>
      <c r="E2146" s="180">
        <v>111175</v>
      </c>
      <c r="F2146" s="192">
        <v>0</v>
      </c>
    </row>
    <row r="2147" spans="1:6" ht="24">
      <c r="A2147" s="190">
        <v>540806</v>
      </c>
      <c r="B2147" s="176" t="s">
        <v>2722</v>
      </c>
      <c r="C2147" s="174" t="s">
        <v>1888</v>
      </c>
      <c r="D2147" s="178" t="s">
        <v>1889</v>
      </c>
      <c r="E2147" s="180">
        <v>63036</v>
      </c>
      <c r="F2147" s="192">
        <v>0</v>
      </c>
    </row>
    <row r="2148" spans="1:6" ht="24">
      <c r="A2148" s="190">
        <v>540806</v>
      </c>
      <c r="B2148" s="176" t="s">
        <v>2722</v>
      </c>
      <c r="C2148" s="174" t="s">
        <v>1890</v>
      </c>
      <c r="D2148" s="178" t="s">
        <v>1891</v>
      </c>
      <c r="E2148" s="180">
        <v>50897</v>
      </c>
      <c r="F2148" s="192">
        <v>0</v>
      </c>
    </row>
    <row r="2149" spans="1:6" ht="24">
      <c r="A2149" s="190">
        <v>540806</v>
      </c>
      <c r="B2149" s="176" t="s">
        <v>2722</v>
      </c>
      <c r="C2149" s="174" t="s">
        <v>1892</v>
      </c>
      <c r="D2149" s="178" t="s">
        <v>1893</v>
      </c>
      <c r="E2149" s="180">
        <v>325366</v>
      </c>
      <c r="F2149" s="192">
        <v>0</v>
      </c>
    </row>
    <row r="2150" spans="1:6" ht="24">
      <c r="A2150" s="190">
        <v>540806</v>
      </c>
      <c r="B2150" s="176" t="s">
        <v>2722</v>
      </c>
      <c r="C2150" s="174" t="s">
        <v>1894</v>
      </c>
      <c r="D2150" s="178" t="s">
        <v>1895</v>
      </c>
      <c r="E2150" s="180">
        <v>29489</v>
      </c>
      <c r="F2150" s="192">
        <v>0</v>
      </c>
    </row>
    <row r="2151" spans="1:6" ht="24">
      <c r="A2151" s="190">
        <v>540806</v>
      </c>
      <c r="B2151" s="176" t="s">
        <v>2722</v>
      </c>
      <c r="C2151" s="174" t="s">
        <v>1896</v>
      </c>
      <c r="D2151" s="178" t="s">
        <v>1897</v>
      </c>
      <c r="E2151" s="180">
        <v>71876</v>
      </c>
      <c r="F2151" s="192">
        <v>0</v>
      </c>
    </row>
    <row r="2152" spans="1:6" ht="24">
      <c r="A2152" s="190">
        <v>540806</v>
      </c>
      <c r="B2152" s="176" t="s">
        <v>2722</v>
      </c>
      <c r="C2152" s="174" t="s">
        <v>1898</v>
      </c>
      <c r="D2152" s="178" t="s">
        <v>1899</v>
      </c>
      <c r="E2152" s="180">
        <v>320118</v>
      </c>
      <c r="F2152" s="192">
        <v>0</v>
      </c>
    </row>
    <row r="2153" spans="1:6" ht="24">
      <c r="A2153" s="190">
        <v>540806</v>
      </c>
      <c r="B2153" s="176" t="s">
        <v>2722</v>
      </c>
      <c r="C2153" s="174">
        <v>218325483</v>
      </c>
      <c r="D2153" s="178" t="s">
        <v>1006</v>
      </c>
      <c r="E2153" s="180">
        <v>19500</v>
      </c>
      <c r="F2153" s="192">
        <v>0</v>
      </c>
    </row>
    <row r="2154" spans="1:6" ht="24">
      <c r="A2154" s="190">
        <v>540806</v>
      </c>
      <c r="B2154" s="176" t="s">
        <v>2722</v>
      </c>
      <c r="C2154" s="174" t="s">
        <v>1900</v>
      </c>
      <c r="D2154" s="178" t="s">
        <v>1901</v>
      </c>
      <c r="E2154" s="180">
        <v>86196</v>
      </c>
      <c r="F2154" s="192">
        <v>0</v>
      </c>
    </row>
    <row r="2155" spans="1:6" ht="24">
      <c r="A2155" s="190">
        <v>540806</v>
      </c>
      <c r="B2155" s="176" t="s">
        <v>2722</v>
      </c>
      <c r="C2155" s="174" t="s">
        <v>1902</v>
      </c>
      <c r="D2155" s="178" t="s">
        <v>1903</v>
      </c>
      <c r="E2155" s="180">
        <v>43569</v>
      </c>
      <c r="F2155" s="192">
        <v>0</v>
      </c>
    </row>
    <row r="2156" spans="1:6" ht="24">
      <c r="A2156" s="190">
        <v>540806</v>
      </c>
      <c r="B2156" s="176" t="s">
        <v>2722</v>
      </c>
      <c r="C2156" s="174" t="s">
        <v>1904</v>
      </c>
      <c r="D2156" s="178" t="s">
        <v>1905</v>
      </c>
      <c r="E2156" s="180">
        <v>27949</v>
      </c>
      <c r="F2156" s="192">
        <v>0</v>
      </c>
    </row>
    <row r="2157" spans="1:6" ht="24">
      <c r="A2157" s="190">
        <v>540806</v>
      </c>
      <c r="B2157" s="176" t="s">
        <v>2722</v>
      </c>
      <c r="C2157" s="174" t="s">
        <v>1906</v>
      </c>
      <c r="D2157" s="178" t="s">
        <v>1907</v>
      </c>
      <c r="E2157" s="180">
        <v>46068</v>
      </c>
      <c r="F2157" s="192">
        <v>0</v>
      </c>
    </row>
    <row r="2158" spans="1:6" ht="24">
      <c r="A2158" s="190">
        <v>540806</v>
      </c>
      <c r="B2158" s="176" t="s">
        <v>2722</v>
      </c>
      <c r="C2158" s="174">
        <v>210625506</v>
      </c>
      <c r="D2158" s="178" t="s">
        <v>1908</v>
      </c>
      <c r="E2158" s="180">
        <v>30338</v>
      </c>
      <c r="F2158" s="192">
        <v>0</v>
      </c>
    </row>
    <row r="2159" spans="1:6" ht="24">
      <c r="A2159" s="190">
        <v>540806</v>
      </c>
      <c r="B2159" s="176" t="s">
        <v>2722</v>
      </c>
      <c r="C2159" s="174" t="s">
        <v>1909</v>
      </c>
      <c r="D2159" s="178" t="s">
        <v>1910</v>
      </c>
      <c r="E2159" s="180">
        <v>198007</v>
      </c>
      <c r="F2159" s="192">
        <v>0</v>
      </c>
    </row>
    <row r="2160" spans="1:6" ht="24">
      <c r="A2160" s="190">
        <v>540806</v>
      </c>
      <c r="B2160" s="176" t="s">
        <v>2722</v>
      </c>
      <c r="C2160" s="174" t="s">
        <v>1911</v>
      </c>
      <c r="D2160" s="178" t="s">
        <v>1912</v>
      </c>
      <c r="E2160" s="180">
        <v>47800</v>
      </c>
      <c r="F2160" s="192">
        <v>0</v>
      </c>
    </row>
    <row r="2161" spans="1:6" ht="24">
      <c r="A2161" s="190">
        <v>540806</v>
      </c>
      <c r="B2161" s="176" t="s">
        <v>2722</v>
      </c>
      <c r="C2161" s="174" t="s">
        <v>1913</v>
      </c>
      <c r="D2161" s="178" t="s">
        <v>1914</v>
      </c>
      <c r="E2161" s="180">
        <v>40602</v>
      </c>
      <c r="F2161" s="192">
        <v>0</v>
      </c>
    </row>
    <row r="2162" spans="1:6" ht="24">
      <c r="A2162" s="190">
        <v>540806</v>
      </c>
      <c r="B2162" s="176" t="s">
        <v>2722</v>
      </c>
      <c r="C2162" s="174" t="s">
        <v>1915</v>
      </c>
      <c r="D2162" s="178" t="s">
        <v>1916</v>
      </c>
      <c r="E2162" s="180">
        <v>51559</v>
      </c>
      <c r="F2162" s="192">
        <v>0</v>
      </c>
    </row>
    <row r="2163" spans="1:6" ht="24">
      <c r="A2163" s="190">
        <v>540806</v>
      </c>
      <c r="B2163" s="176" t="s">
        <v>2722</v>
      </c>
      <c r="C2163" s="174" t="s">
        <v>1917</v>
      </c>
      <c r="D2163" s="178" t="s">
        <v>1918</v>
      </c>
      <c r="E2163" s="180">
        <v>97157</v>
      </c>
      <c r="F2163" s="192">
        <v>0</v>
      </c>
    </row>
    <row r="2164" spans="1:6" ht="24">
      <c r="A2164" s="190">
        <v>540806</v>
      </c>
      <c r="B2164" s="176" t="s">
        <v>2722</v>
      </c>
      <c r="C2164" s="174" t="s">
        <v>1919</v>
      </c>
      <c r="D2164" s="178" t="s">
        <v>1920</v>
      </c>
      <c r="E2164" s="180">
        <v>114597</v>
      </c>
      <c r="F2164" s="192">
        <v>0</v>
      </c>
    </row>
    <row r="2165" spans="1:6" ht="24">
      <c r="A2165" s="190">
        <v>540806</v>
      </c>
      <c r="B2165" s="176" t="s">
        <v>2722</v>
      </c>
      <c r="C2165" s="174" t="s">
        <v>1921</v>
      </c>
      <c r="D2165" s="178" t="s">
        <v>1922</v>
      </c>
      <c r="E2165" s="180">
        <v>24471</v>
      </c>
      <c r="F2165" s="192">
        <v>0</v>
      </c>
    </row>
    <row r="2166" spans="1:6" ht="24">
      <c r="A2166" s="190">
        <v>540806</v>
      </c>
      <c r="B2166" s="176" t="s">
        <v>2722</v>
      </c>
      <c r="C2166" s="174" t="s">
        <v>1923</v>
      </c>
      <c r="D2166" s="178" t="s">
        <v>1924</v>
      </c>
      <c r="E2166" s="180">
        <v>31732</v>
      </c>
      <c r="F2166" s="192">
        <v>0</v>
      </c>
    </row>
    <row r="2167" spans="1:6" ht="24">
      <c r="A2167" s="190">
        <v>540806</v>
      </c>
      <c r="B2167" s="176" t="s">
        <v>2722</v>
      </c>
      <c r="C2167" s="174" t="s">
        <v>1925</v>
      </c>
      <c r="D2167" s="178" t="s">
        <v>1926</v>
      </c>
      <c r="E2167" s="180">
        <v>39786</v>
      </c>
      <c r="F2167" s="192">
        <v>0</v>
      </c>
    </row>
    <row r="2168" spans="1:6" ht="24">
      <c r="A2168" s="190">
        <v>540806</v>
      </c>
      <c r="B2168" s="176" t="s">
        <v>2722</v>
      </c>
      <c r="C2168" s="174">
        <v>219625596</v>
      </c>
      <c r="D2168" s="178" t="s">
        <v>1927</v>
      </c>
      <c r="E2168" s="180">
        <v>69248</v>
      </c>
      <c r="F2168" s="192">
        <v>0</v>
      </c>
    </row>
    <row r="2169" spans="1:6" ht="24">
      <c r="A2169" s="190">
        <v>540806</v>
      </c>
      <c r="B2169" s="176" t="s">
        <v>2722</v>
      </c>
      <c r="C2169" s="200" t="s">
        <v>1928</v>
      </c>
      <c r="D2169" s="178" t="s">
        <v>1929</v>
      </c>
      <c r="E2169" s="180">
        <v>52805</v>
      </c>
      <c r="F2169" s="192">
        <v>0</v>
      </c>
    </row>
    <row r="2170" spans="1:6" ht="24">
      <c r="A2170" s="190">
        <v>540806</v>
      </c>
      <c r="B2170" s="176" t="s">
        <v>2722</v>
      </c>
      <c r="C2170" s="174" t="s">
        <v>1930</v>
      </c>
      <c r="D2170" s="178" t="s">
        <v>1931</v>
      </c>
      <c r="E2170" s="180">
        <v>55016</v>
      </c>
      <c r="F2170" s="192">
        <v>0</v>
      </c>
    </row>
    <row r="2171" spans="1:6" ht="24">
      <c r="A2171" s="190">
        <v>540806</v>
      </c>
      <c r="B2171" s="176" t="s">
        <v>2722</v>
      </c>
      <c r="C2171" s="174" t="s">
        <v>1932</v>
      </c>
      <c r="D2171" s="178" t="s">
        <v>1933</v>
      </c>
      <c r="E2171" s="180">
        <v>84711</v>
      </c>
      <c r="F2171" s="192">
        <v>0</v>
      </c>
    </row>
    <row r="2172" spans="1:6" ht="24">
      <c r="A2172" s="190">
        <v>540806</v>
      </c>
      <c r="B2172" s="176" t="s">
        <v>2722</v>
      </c>
      <c r="C2172" s="174" t="s">
        <v>1934</v>
      </c>
      <c r="D2172" s="178" t="s">
        <v>1935</v>
      </c>
      <c r="E2172" s="180">
        <v>80961</v>
      </c>
      <c r="F2172" s="192">
        <v>0</v>
      </c>
    </row>
    <row r="2173" spans="1:6" ht="24">
      <c r="A2173" s="190">
        <v>540806</v>
      </c>
      <c r="B2173" s="176" t="s">
        <v>2722</v>
      </c>
      <c r="C2173" s="174" t="s">
        <v>1936</v>
      </c>
      <c r="D2173" s="178" t="s">
        <v>1937</v>
      </c>
      <c r="E2173" s="180">
        <v>38363</v>
      </c>
      <c r="F2173" s="192">
        <v>0</v>
      </c>
    </row>
    <row r="2174" spans="1:6" ht="24">
      <c r="A2174" s="190">
        <v>540806</v>
      </c>
      <c r="B2174" s="176" t="s">
        <v>2722</v>
      </c>
      <c r="C2174" s="174" t="s">
        <v>1938</v>
      </c>
      <c r="D2174" s="178" t="s">
        <v>1249</v>
      </c>
      <c r="E2174" s="180">
        <v>55919</v>
      </c>
      <c r="F2174" s="192">
        <v>0</v>
      </c>
    </row>
    <row r="2175" spans="1:6" ht="24">
      <c r="A2175" s="190">
        <v>540806</v>
      </c>
      <c r="B2175" s="176" t="s">
        <v>2722</v>
      </c>
      <c r="C2175" s="174" t="s">
        <v>1939</v>
      </c>
      <c r="D2175" s="178" t="s">
        <v>1940</v>
      </c>
      <c r="E2175" s="180">
        <v>71483</v>
      </c>
      <c r="F2175" s="192">
        <v>0</v>
      </c>
    </row>
    <row r="2176" spans="1:6" ht="24">
      <c r="A2176" s="190">
        <v>540806</v>
      </c>
      <c r="B2176" s="176" t="s">
        <v>2722</v>
      </c>
      <c r="C2176" s="174" t="s">
        <v>1941</v>
      </c>
      <c r="D2176" s="178" t="s">
        <v>1942</v>
      </c>
      <c r="E2176" s="180">
        <v>84654</v>
      </c>
      <c r="F2176" s="192">
        <v>0</v>
      </c>
    </row>
    <row r="2177" spans="1:6" ht="24">
      <c r="A2177" s="190">
        <v>540806</v>
      </c>
      <c r="B2177" s="176" t="s">
        <v>2722</v>
      </c>
      <c r="C2177" s="174" t="s">
        <v>1943</v>
      </c>
      <c r="D2177" s="178" t="s">
        <v>1944</v>
      </c>
      <c r="E2177" s="180">
        <v>68964</v>
      </c>
      <c r="F2177" s="192">
        <v>0</v>
      </c>
    </row>
    <row r="2178" spans="1:6" ht="24">
      <c r="A2178" s="190">
        <v>540806</v>
      </c>
      <c r="B2178" s="176" t="s">
        <v>2722</v>
      </c>
      <c r="C2178" s="174" t="s">
        <v>1945</v>
      </c>
      <c r="D2178" s="178" t="s">
        <v>1946</v>
      </c>
      <c r="E2178" s="180">
        <v>184315</v>
      </c>
      <c r="F2178" s="192">
        <v>0</v>
      </c>
    </row>
    <row r="2179" spans="1:6" ht="24">
      <c r="A2179" s="190">
        <v>540806</v>
      </c>
      <c r="B2179" s="176" t="s">
        <v>2722</v>
      </c>
      <c r="C2179" s="174" t="s">
        <v>1947</v>
      </c>
      <c r="D2179" s="178" t="s">
        <v>1948</v>
      </c>
      <c r="E2179" s="180">
        <v>151142</v>
      </c>
      <c r="F2179" s="192">
        <v>0</v>
      </c>
    </row>
    <row r="2180" spans="1:6" ht="24">
      <c r="A2180" s="190">
        <v>540806</v>
      </c>
      <c r="B2180" s="176" t="s">
        <v>2722</v>
      </c>
      <c r="C2180" s="174" t="s">
        <v>1949</v>
      </c>
      <c r="D2180" s="178" t="s">
        <v>1950</v>
      </c>
      <c r="E2180" s="180">
        <v>87132</v>
      </c>
      <c r="F2180" s="192">
        <v>0</v>
      </c>
    </row>
    <row r="2181" spans="1:6" ht="24">
      <c r="A2181" s="190">
        <v>540806</v>
      </c>
      <c r="B2181" s="176" t="s">
        <v>2722</v>
      </c>
      <c r="C2181" s="174" t="s">
        <v>1951</v>
      </c>
      <c r="D2181" s="178" t="s">
        <v>1952</v>
      </c>
      <c r="E2181" s="180">
        <v>126152</v>
      </c>
      <c r="F2181" s="192">
        <v>0</v>
      </c>
    </row>
    <row r="2182" spans="1:6" ht="24">
      <c r="A2182" s="190">
        <v>540806</v>
      </c>
      <c r="B2182" s="176" t="s">
        <v>2722</v>
      </c>
      <c r="C2182" s="174" t="s">
        <v>1953</v>
      </c>
      <c r="D2182" s="178" t="s">
        <v>1954</v>
      </c>
      <c r="E2182" s="180">
        <v>85588</v>
      </c>
      <c r="F2182" s="192">
        <v>0</v>
      </c>
    </row>
    <row r="2183" spans="1:6" ht="24">
      <c r="A2183" s="190">
        <v>540806</v>
      </c>
      <c r="B2183" s="176" t="s">
        <v>2722</v>
      </c>
      <c r="C2183" s="174" t="s">
        <v>1955</v>
      </c>
      <c r="D2183" s="178" t="s">
        <v>1956</v>
      </c>
      <c r="E2183" s="180">
        <v>100182</v>
      </c>
      <c r="F2183" s="192">
        <v>0</v>
      </c>
    </row>
    <row r="2184" spans="1:6" ht="24">
      <c r="A2184" s="190">
        <v>540806</v>
      </c>
      <c r="B2184" s="176" t="s">
        <v>2722</v>
      </c>
      <c r="C2184" s="174" t="s">
        <v>1957</v>
      </c>
      <c r="D2184" s="178" t="s">
        <v>1958</v>
      </c>
      <c r="E2184" s="180">
        <v>39420</v>
      </c>
      <c r="F2184" s="192">
        <v>0</v>
      </c>
    </row>
    <row r="2185" spans="1:6" ht="24">
      <c r="A2185" s="190">
        <v>540806</v>
      </c>
      <c r="B2185" s="176" t="s">
        <v>2722</v>
      </c>
      <c r="C2185" s="174" t="s">
        <v>1959</v>
      </c>
      <c r="D2185" s="178" t="s">
        <v>1960</v>
      </c>
      <c r="E2185" s="180">
        <v>41994</v>
      </c>
      <c r="F2185" s="192">
        <v>0</v>
      </c>
    </row>
    <row r="2186" spans="1:6" ht="24">
      <c r="A2186" s="190">
        <v>540806</v>
      </c>
      <c r="B2186" s="176" t="s">
        <v>2722</v>
      </c>
      <c r="C2186" s="174" t="s">
        <v>1961</v>
      </c>
      <c r="D2186" s="178" t="s">
        <v>1962</v>
      </c>
      <c r="E2186" s="180">
        <v>34638</v>
      </c>
      <c r="F2186" s="192">
        <v>0</v>
      </c>
    </row>
    <row r="2187" spans="1:6" ht="24">
      <c r="A2187" s="190">
        <v>540806</v>
      </c>
      <c r="B2187" s="176" t="s">
        <v>2722</v>
      </c>
      <c r="C2187" s="174" t="s">
        <v>1963</v>
      </c>
      <c r="D2187" s="178" t="s">
        <v>1964</v>
      </c>
      <c r="E2187" s="180">
        <v>109684</v>
      </c>
      <c r="F2187" s="192">
        <v>0</v>
      </c>
    </row>
    <row r="2188" spans="1:6" ht="24">
      <c r="A2188" s="190">
        <v>540806</v>
      </c>
      <c r="B2188" s="176" t="s">
        <v>2722</v>
      </c>
      <c r="C2188" s="174" t="s">
        <v>1965</v>
      </c>
      <c r="D2188" s="178" t="s">
        <v>1966</v>
      </c>
      <c r="E2188" s="180">
        <v>56407</v>
      </c>
      <c r="F2188" s="192">
        <v>0</v>
      </c>
    </row>
    <row r="2189" spans="1:6" ht="24">
      <c r="A2189" s="190">
        <v>540806</v>
      </c>
      <c r="B2189" s="176" t="s">
        <v>2722</v>
      </c>
      <c r="C2189" s="174" t="s">
        <v>1967</v>
      </c>
      <c r="D2189" s="178" t="s">
        <v>1968</v>
      </c>
      <c r="E2189" s="180">
        <v>62885</v>
      </c>
      <c r="F2189" s="192">
        <v>0</v>
      </c>
    </row>
    <row r="2190" spans="1:6" ht="24">
      <c r="A2190" s="190">
        <v>540806</v>
      </c>
      <c r="B2190" s="176" t="s">
        <v>2722</v>
      </c>
      <c r="C2190" s="174" t="s">
        <v>1969</v>
      </c>
      <c r="D2190" s="178" t="s">
        <v>1970</v>
      </c>
      <c r="E2190" s="180">
        <v>96151</v>
      </c>
      <c r="F2190" s="192">
        <v>0</v>
      </c>
    </row>
    <row r="2191" spans="1:6" ht="24">
      <c r="A2191" s="190">
        <v>540806</v>
      </c>
      <c r="B2191" s="176" t="s">
        <v>2722</v>
      </c>
      <c r="C2191" s="174" t="s">
        <v>1971</v>
      </c>
      <c r="D2191" s="178" t="s">
        <v>1972</v>
      </c>
      <c r="E2191" s="180">
        <v>30610</v>
      </c>
      <c r="F2191" s="192">
        <v>0</v>
      </c>
    </row>
    <row r="2192" spans="1:6" ht="24">
      <c r="A2192" s="190">
        <v>540806</v>
      </c>
      <c r="B2192" s="176" t="s">
        <v>2722</v>
      </c>
      <c r="C2192" s="174" t="s">
        <v>1973</v>
      </c>
      <c r="D2192" s="178" t="s">
        <v>1974</v>
      </c>
      <c r="E2192" s="180">
        <v>18772</v>
      </c>
      <c r="F2192" s="192">
        <v>0</v>
      </c>
    </row>
    <row r="2193" spans="1:6" ht="24">
      <c r="A2193" s="190">
        <v>540806</v>
      </c>
      <c r="B2193" s="176" t="s">
        <v>2722</v>
      </c>
      <c r="C2193" s="174" t="s">
        <v>1975</v>
      </c>
      <c r="D2193" s="178" t="s">
        <v>1976</v>
      </c>
      <c r="E2193" s="180">
        <v>104850</v>
      </c>
      <c r="F2193" s="192">
        <v>0</v>
      </c>
    </row>
    <row r="2194" spans="1:6" ht="24">
      <c r="A2194" s="190">
        <v>540806</v>
      </c>
      <c r="B2194" s="176" t="s">
        <v>2722</v>
      </c>
      <c r="C2194" s="174" t="s">
        <v>1977</v>
      </c>
      <c r="D2194" s="178" t="s">
        <v>1978</v>
      </c>
      <c r="E2194" s="180">
        <v>180017</v>
      </c>
      <c r="F2194" s="192">
        <v>0</v>
      </c>
    </row>
    <row r="2195" spans="1:6" ht="24">
      <c r="A2195" s="190">
        <v>540806</v>
      </c>
      <c r="B2195" s="176" t="s">
        <v>2722</v>
      </c>
      <c r="C2195" s="174" t="s">
        <v>1979</v>
      </c>
      <c r="D2195" s="178" t="s">
        <v>1980</v>
      </c>
      <c r="E2195" s="180">
        <v>38156</v>
      </c>
      <c r="F2195" s="192">
        <v>0</v>
      </c>
    </row>
    <row r="2196" spans="1:6" ht="24">
      <c r="A2196" s="190">
        <v>540806</v>
      </c>
      <c r="B2196" s="176" t="s">
        <v>2722</v>
      </c>
      <c r="C2196" s="174" t="s">
        <v>1981</v>
      </c>
      <c r="D2196" s="178" t="s">
        <v>1982</v>
      </c>
      <c r="E2196" s="180">
        <v>85839</v>
      </c>
      <c r="F2196" s="192">
        <v>0</v>
      </c>
    </row>
    <row r="2197" spans="1:6" ht="24">
      <c r="A2197" s="190">
        <v>540806</v>
      </c>
      <c r="B2197" s="176" t="s">
        <v>2722</v>
      </c>
      <c r="C2197" s="174" t="s">
        <v>1983</v>
      </c>
      <c r="D2197" s="178" t="s">
        <v>1984</v>
      </c>
      <c r="E2197" s="180">
        <v>45933</v>
      </c>
      <c r="F2197" s="192">
        <v>0</v>
      </c>
    </row>
    <row r="2198" spans="1:6" ht="24">
      <c r="A2198" s="190">
        <v>540806</v>
      </c>
      <c r="B2198" s="176" t="s">
        <v>2722</v>
      </c>
      <c r="C2198" s="174" t="s">
        <v>1985</v>
      </c>
      <c r="D2198" s="178" t="s">
        <v>1986</v>
      </c>
      <c r="E2198" s="180">
        <v>226827</v>
      </c>
      <c r="F2198" s="192">
        <v>0</v>
      </c>
    </row>
    <row r="2199" spans="1:6" ht="24">
      <c r="A2199" s="190">
        <v>540806</v>
      </c>
      <c r="B2199" s="176" t="s">
        <v>2722</v>
      </c>
      <c r="C2199" s="174" t="s">
        <v>1987</v>
      </c>
      <c r="D2199" s="178" t="s">
        <v>1988</v>
      </c>
      <c r="E2199" s="180">
        <v>49199</v>
      </c>
      <c r="F2199" s="192">
        <v>0</v>
      </c>
    </row>
    <row r="2200" spans="1:6" ht="24">
      <c r="A2200" s="190">
        <v>540806</v>
      </c>
      <c r="B2200" s="176" t="s">
        <v>2722</v>
      </c>
      <c r="C2200" s="174" t="s">
        <v>1989</v>
      </c>
      <c r="D2200" s="178" t="s">
        <v>1990</v>
      </c>
      <c r="E2200" s="180">
        <v>30822</v>
      </c>
      <c r="F2200" s="192">
        <v>0</v>
      </c>
    </row>
    <row r="2201" spans="1:6" ht="24">
      <c r="A2201" s="190">
        <v>540806</v>
      </c>
      <c r="B2201" s="176" t="s">
        <v>2722</v>
      </c>
      <c r="C2201" s="174" t="s">
        <v>1991</v>
      </c>
      <c r="D2201" s="178" t="s">
        <v>1992</v>
      </c>
      <c r="E2201" s="180">
        <v>55167</v>
      </c>
      <c r="F2201" s="192">
        <v>0</v>
      </c>
    </row>
    <row r="2202" spans="1:6" ht="24">
      <c r="A2202" s="190">
        <v>540806</v>
      </c>
      <c r="B2202" s="176" t="s">
        <v>2722</v>
      </c>
      <c r="C2202" s="174" t="s">
        <v>1993</v>
      </c>
      <c r="D2202" s="178" t="s">
        <v>1994</v>
      </c>
      <c r="E2202" s="180">
        <v>31458</v>
      </c>
      <c r="F2202" s="192">
        <v>0</v>
      </c>
    </row>
    <row r="2203" spans="1:6" ht="24">
      <c r="A2203" s="190">
        <v>540806</v>
      </c>
      <c r="B2203" s="176" t="s">
        <v>2722</v>
      </c>
      <c r="C2203" s="174" t="s">
        <v>1995</v>
      </c>
      <c r="D2203" s="178" t="s">
        <v>1996</v>
      </c>
      <c r="E2203" s="180">
        <v>17379</v>
      </c>
      <c r="F2203" s="192">
        <v>0</v>
      </c>
    </row>
    <row r="2204" spans="1:6" ht="24">
      <c r="A2204" s="190">
        <v>540806</v>
      </c>
      <c r="B2204" s="176" t="s">
        <v>2722</v>
      </c>
      <c r="C2204" s="200" t="s">
        <v>1997</v>
      </c>
      <c r="D2204" s="178" t="s">
        <v>1998</v>
      </c>
      <c r="E2204" s="180">
        <v>129398</v>
      </c>
      <c r="F2204" s="192">
        <v>0</v>
      </c>
    </row>
    <row r="2205" spans="1:6" ht="24">
      <c r="A2205" s="190">
        <v>540806</v>
      </c>
      <c r="B2205" s="176" t="s">
        <v>2722</v>
      </c>
      <c r="C2205" s="174" t="s">
        <v>1999</v>
      </c>
      <c r="D2205" s="178" t="s">
        <v>2000</v>
      </c>
      <c r="E2205" s="180">
        <v>166858</v>
      </c>
      <c r="F2205" s="192">
        <v>0</v>
      </c>
    </row>
    <row r="2206" spans="1:6" ht="24">
      <c r="A2206" s="190">
        <v>540806</v>
      </c>
      <c r="B2206" s="176" t="s">
        <v>2722</v>
      </c>
      <c r="C2206" s="174" t="s">
        <v>2001</v>
      </c>
      <c r="D2206" s="178" t="s">
        <v>2002</v>
      </c>
      <c r="E2206" s="180">
        <v>108577</v>
      </c>
      <c r="F2206" s="192">
        <v>0</v>
      </c>
    </row>
    <row r="2207" spans="1:6" ht="24">
      <c r="A2207" s="190">
        <v>540806</v>
      </c>
      <c r="B2207" s="176" t="s">
        <v>2722</v>
      </c>
      <c r="C2207" s="174" t="s">
        <v>2003</v>
      </c>
      <c r="D2207" s="178" t="s">
        <v>2004</v>
      </c>
      <c r="E2207" s="180">
        <v>148280</v>
      </c>
      <c r="F2207" s="192">
        <v>0</v>
      </c>
    </row>
    <row r="2208" spans="1:6" ht="24">
      <c r="A2208" s="190">
        <v>540806</v>
      </c>
      <c r="B2208" s="176" t="s">
        <v>2722</v>
      </c>
      <c r="C2208" s="174" t="s">
        <v>2005</v>
      </c>
      <c r="D2208" s="178" t="s">
        <v>2006</v>
      </c>
      <c r="E2208" s="180">
        <v>33848</v>
      </c>
      <c r="F2208" s="192">
        <v>0</v>
      </c>
    </row>
    <row r="2209" spans="1:6" ht="24">
      <c r="A2209" s="190">
        <v>540806</v>
      </c>
      <c r="B2209" s="176" t="s">
        <v>2722</v>
      </c>
      <c r="C2209" s="174" t="s">
        <v>2007</v>
      </c>
      <c r="D2209" s="178" t="s">
        <v>2008</v>
      </c>
      <c r="E2209" s="180">
        <v>571604</v>
      </c>
      <c r="F2209" s="192">
        <v>0</v>
      </c>
    </row>
    <row r="2210" spans="1:6" ht="24">
      <c r="A2210" s="190">
        <v>540806</v>
      </c>
      <c r="B2210" s="176" t="s">
        <v>2722</v>
      </c>
      <c r="C2210" s="174">
        <v>210127001</v>
      </c>
      <c r="D2210" s="178" t="s">
        <v>2009</v>
      </c>
      <c r="E2210" s="180">
        <v>1394077</v>
      </c>
      <c r="F2210" s="192">
        <v>0</v>
      </c>
    </row>
    <row r="2211" spans="1:6" ht="24">
      <c r="A2211" s="190">
        <v>540806</v>
      </c>
      <c r="B2211" s="176" t="s">
        <v>2722</v>
      </c>
      <c r="C2211" s="200" t="s">
        <v>2010</v>
      </c>
      <c r="D2211" s="178" t="s">
        <v>2011</v>
      </c>
      <c r="E2211" s="180">
        <v>92591</v>
      </c>
      <c r="F2211" s="192">
        <v>0</v>
      </c>
    </row>
    <row r="2212" spans="1:6" ht="24">
      <c r="A2212" s="190">
        <v>540806</v>
      </c>
      <c r="B2212" s="176" t="s">
        <v>2722</v>
      </c>
      <c r="C2212" s="200" t="s">
        <v>2012</v>
      </c>
      <c r="D2212" s="178" t="s">
        <v>2013</v>
      </c>
      <c r="E2212" s="180">
        <v>211576</v>
      </c>
      <c r="F2212" s="192">
        <v>0</v>
      </c>
    </row>
    <row r="2213" spans="1:6" ht="24">
      <c r="A2213" s="190">
        <v>540806</v>
      </c>
      <c r="B2213" s="176" t="s">
        <v>2722</v>
      </c>
      <c r="C2213" s="174">
        <v>215027050</v>
      </c>
      <c r="D2213" s="178" t="s">
        <v>2014</v>
      </c>
      <c r="E2213" s="180">
        <v>84248</v>
      </c>
      <c r="F2213" s="192">
        <v>0</v>
      </c>
    </row>
    <row r="2214" spans="1:6" ht="24">
      <c r="A2214" s="190">
        <v>540806</v>
      </c>
      <c r="B2214" s="176" t="s">
        <v>2722</v>
      </c>
      <c r="C2214" s="200">
        <v>217327073</v>
      </c>
      <c r="D2214" s="178" t="s">
        <v>2015</v>
      </c>
      <c r="E2214" s="180">
        <v>122516</v>
      </c>
      <c r="F2214" s="192">
        <v>0</v>
      </c>
    </row>
    <row r="2215" spans="1:6" ht="24">
      <c r="A2215" s="190">
        <v>540806</v>
      </c>
      <c r="B2215" s="176" t="s">
        <v>2722</v>
      </c>
      <c r="C2215" s="200" t="s">
        <v>2016</v>
      </c>
      <c r="D2215" s="178" t="s">
        <v>2017</v>
      </c>
      <c r="E2215" s="180">
        <v>89075</v>
      </c>
      <c r="F2215" s="192">
        <v>0</v>
      </c>
    </row>
    <row r="2216" spans="1:6" ht="24">
      <c r="A2216" s="190">
        <v>540806</v>
      </c>
      <c r="B2216" s="176" t="s">
        <v>2722</v>
      </c>
      <c r="C2216" s="174" t="s">
        <v>2018</v>
      </c>
      <c r="D2216" s="178" t="s">
        <v>2019</v>
      </c>
      <c r="E2216" s="180">
        <v>175873</v>
      </c>
      <c r="F2216" s="192">
        <v>0</v>
      </c>
    </row>
    <row r="2217" spans="1:6" ht="24">
      <c r="A2217" s="190">
        <v>540806</v>
      </c>
      <c r="B2217" s="176" t="s">
        <v>2722</v>
      </c>
      <c r="C2217" s="174" t="s">
        <v>2020</v>
      </c>
      <c r="D2217" s="178" t="s">
        <v>2021</v>
      </c>
      <c r="E2217" s="180">
        <v>130193</v>
      </c>
      <c r="F2217" s="192">
        <v>0</v>
      </c>
    </row>
    <row r="2218" spans="1:6" ht="24">
      <c r="A2218" s="190">
        <v>540806</v>
      </c>
      <c r="B2218" s="176" t="s">
        <v>2722</v>
      </c>
      <c r="C2218" s="174" t="s">
        <v>2022</v>
      </c>
      <c r="D2218" s="178" t="s">
        <v>2023</v>
      </c>
      <c r="E2218" s="180">
        <v>74692</v>
      </c>
      <c r="F2218" s="192">
        <v>0</v>
      </c>
    </row>
    <row r="2219" spans="1:6" ht="24">
      <c r="A2219" s="190">
        <v>540806</v>
      </c>
      <c r="B2219" s="176" t="s">
        <v>2722</v>
      </c>
      <c r="C2219" s="200" t="s">
        <v>2024</v>
      </c>
      <c r="D2219" s="178" t="s">
        <v>2025</v>
      </c>
      <c r="E2219" s="180">
        <v>76663</v>
      </c>
      <c r="F2219" s="192">
        <v>0</v>
      </c>
    </row>
    <row r="2220" spans="1:6" ht="24">
      <c r="A2220" s="190">
        <v>540806</v>
      </c>
      <c r="B2220" s="176" t="s">
        <v>2722</v>
      </c>
      <c r="C2220" s="174" t="s">
        <v>2026</v>
      </c>
      <c r="D2220" s="178" t="s">
        <v>2027</v>
      </c>
      <c r="E2220" s="180">
        <v>45294</v>
      </c>
      <c r="F2220" s="192">
        <v>0</v>
      </c>
    </row>
    <row r="2221" spans="1:6" ht="24">
      <c r="A2221" s="190">
        <v>540806</v>
      </c>
      <c r="B2221" s="176" t="s">
        <v>2722</v>
      </c>
      <c r="C2221" s="174" t="s">
        <v>2028</v>
      </c>
      <c r="D2221" s="178" t="s">
        <v>2029</v>
      </c>
      <c r="E2221" s="180">
        <v>170587</v>
      </c>
      <c r="F2221" s="192">
        <v>0</v>
      </c>
    </row>
    <row r="2222" spans="1:6" ht="24">
      <c r="A2222" s="190">
        <v>540806</v>
      </c>
      <c r="B2222" s="176" t="s">
        <v>2722</v>
      </c>
      <c r="C2222" s="174" t="s">
        <v>2030</v>
      </c>
      <c r="D2222" s="178" t="s">
        <v>2031</v>
      </c>
      <c r="E2222" s="180">
        <v>53107</v>
      </c>
      <c r="F2222" s="192">
        <v>0</v>
      </c>
    </row>
    <row r="2223" spans="1:6" ht="24">
      <c r="A2223" s="190">
        <v>540806</v>
      </c>
      <c r="B2223" s="176" t="s">
        <v>2722</v>
      </c>
      <c r="C2223" s="174" t="s">
        <v>2032</v>
      </c>
      <c r="D2223" s="178" t="s">
        <v>2033</v>
      </c>
      <c r="E2223" s="180">
        <v>140874</v>
      </c>
      <c r="F2223" s="192">
        <v>0</v>
      </c>
    </row>
    <row r="2224" spans="1:6" ht="24">
      <c r="A2224" s="190">
        <v>540806</v>
      </c>
      <c r="B2224" s="176" t="s">
        <v>2722</v>
      </c>
      <c r="C2224" s="174">
        <v>216127361</v>
      </c>
      <c r="D2224" s="178" t="s">
        <v>2034</v>
      </c>
      <c r="E2224" s="180">
        <v>353231</v>
      </c>
      <c r="F2224" s="192">
        <v>0</v>
      </c>
    </row>
    <row r="2225" spans="1:6" ht="24">
      <c r="A2225" s="190">
        <v>540806</v>
      </c>
      <c r="B2225" s="176" t="s">
        <v>2722</v>
      </c>
      <c r="C2225" s="174">
        <v>217227372</v>
      </c>
      <c r="D2225" s="178" t="s">
        <v>2035</v>
      </c>
      <c r="E2225" s="180">
        <v>28775</v>
      </c>
      <c r="F2225" s="192">
        <v>0</v>
      </c>
    </row>
    <row r="2226" spans="1:6" ht="24">
      <c r="A2226" s="190">
        <v>540806</v>
      </c>
      <c r="B2226" s="176" t="s">
        <v>2722</v>
      </c>
      <c r="C2226" s="174">
        <v>211327413</v>
      </c>
      <c r="D2226" s="178" t="s">
        <v>2036</v>
      </c>
      <c r="E2226" s="180">
        <v>104823</v>
      </c>
      <c r="F2226" s="192">
        <v>0</v>
      </c>
    </row>
    <row r="2227" spans="1:6" ht="24">
      <c r="A2227" s="190">
        <v>540806</v>
      </c>
      <c r="B2227" s="176" t="s">
        <v>2722</v>
      </c>
      <c r="C2227" s="200">
        <v>212527425</v>
      </c>
      <c r="D2227" s="178" t="s">
        <v>2037</v>
      </c>
      <c r="E2227" s="180">
        <v>93499</v>
      </c>
      <c r="F2227" s="192">
        <v>0</v>
      </c>
    </row>
    <row r="2228" spans="1:6" ht="24">
      <c r="A2228" s="190">
        <v>540806</v>
      </c>
      <c r="B2228" s="176" t="s">
        <v>2722</v>
      </c>
      <c r="C2228" s="200">
        <v>213027430</v>
      </c>
      <c r="D2228" s="178" t="s">
        <v>2038</v>
      </c>
      <c r="E2228" s="180">
        <v>142624</v>
      </c>
      <c r="F2228" s="192">
        <v>0</v>
      </c>
    </row>
    <row r="2229" spans="1:6" ht="24">
      <c r="A2229" s="190">
        <v>540806</v>
      </c>
      <c r="B2229" s="176" t="s">
        <v>2722</v>
      </c>
      <c r="C2229" s="200">
        <v>215027450</v>
      </c>
      <c r="D2229" s="178" t="s">
        <v>2039</v>
      </c>
      <c r="E2229" s="180">
        <v>106982</v>
      </c>
      <c r="F2229" s="192">
        <v>0</v>
      </c>
    </row>
    <row r="2230" spans="1:6" ht="24">
      <c r="A2230" s="190">
        <v>540806</v>
      </c>
      <c r="B2230" s="176" t="s">
        <v>2722</v>
      </c>
      <c r="C2230" s="200">
        <v>219127491</v>
      </c>
      <c r="D2230" s="178" t="s">
        <v>2040</v>
      </c>
      <c r="E2230" s="180">
        <v>62556</v>
      </c>
      <c r="F2230" s="192">
        <v>0</v>
      </c>
    </row>
    <row r="2231" spans="1:6" ht="24">
      <c r="A2231" s="190">
        <v>540806</v>
      </c>
      <c r="B2231" s="176" t="s">
        <v>2722</v>
      </c>
      <c r="C2231" s="174">
        <v>219527495</v>
      </c>
      <c r="D2231" s="178" t="s">
        <v>2041</v>
      </c>
      <c r="E2231" s="180">
        <v>73126</v>
      </c>
      <c r="F2231" s="192">
        <v>0</v>
      </c>
    </row>
    <row r="2232" spans="1:6" ht="24">
      <c r="A2232" s="190">
        <v>540806</v>
      </c>
      <c r="B2232" s="176" t="s">
        <v>2722</v>
      </c>
      <c r="C2232" s="174">
        <v>218027580</v>
      </c>
      <c r="D2232" s="178" t="s">
        <v>2042</v>
      </c>
      <c r="E2232" s="180">
        <v>61643</v>
      </c>
      <c r="F2232" s="192">
        <v>0</v>
      </c>
    </row>
    <row r="2233" spans="1:6" ht="24">
      <c r="A2233" s="190">
        <v>540806</v>
      </c>
      <c r="B2233" s="176" t="s">
        <v>2722</v>
      </c>
      <c r="C2233" s="174">
        <v>210027600</v>
      </c>
      <c r="D2233" s="178" t="s">
        <v>2043</v>
      </c>
      <c r="E2233" s="180">
        <v>96540</v>
      </c>
      <c r="F2233" s="192">
        <v>0</v>
      </c>
    </row>
    <row r="2234" spans="1:6" ht="24">
      <c r="A2234" s="190">
        <v>540806</v>
      </c>
      <c r="B2234" s="176" t="s">
        <v>2722</v>
      </c>
      <c r="C2234" s="174">
        <v>211417614</v>
      </c>
      <c r="D2234" s="178" t="s">
        <v>2044</v>
      </c>
      <c r="E2234" s="180">
        <v>291535</v>
      </c>
      <c r="F2234" s="192">
        <v>0</v>
      </c>
    </row>
    <row r="2235" spans="1:6" ht="24">
      <c r="A2235" s="190">
        <v>540806</v>
      </c>
      <c r="B2235" s="176" t="s">
        <v>2722</v>
      </c>
      <c r="C2235" s="174">
        <v>216027660</v>
      </c>
      <c r="D2235" s="178" t="s">
        <v>2045</v>
      </c>
      <c r="E2235" s="180">
        <v>42538</v>
      </c>
      <c r="F2235" s="192">
        <v>0</v>
      </c>
    </row>
    <row r="2236" spans="1:6" ht="24">
      <c r="A2236" s="190">
        <v>540806</v>
      </c>
      <c r="B2236" s="176" t="s">
        <v>2722</v>
      </c>
      <c r="C2236" s="174">
        <v>214527745</v>
      </c>
      <c r="D2236" s="178" t="s">
        <v>2046</v>
      </c>
      <c r="E2236" s="180">
        <v>42844</v>
      </c>
      <c r="F2236" s="192">
        <v>0</v>
      </c>
    </row>
    <row r="2237" spans="1:6" ht="24">
      <c r="A2237" s="190">
        <v>540806</v>
      </c>
      <c r="B2237" s="176" t="s">
        <v>2722</v>
      </c>
      <c r="C2237" s="200" t="s">
        <v>2047</v>
      </c>
      <c r="D2237" s="178" t="s">
        <v>2048</v>
      </c>
      <c r="E2237" s="180">
        <v>212856</v>
      </c>
      <c r="F2237" s="192">
        <v>0</v>
      </c>
    </row>
    <row r="2238" spans="1:6" ht="24">
      <c r="A2238" s="190">
        <v>540806</v>
      </c>
      <c r="B2238" s="176" t="s">
        <v>2722</v>
      </c>
      <c r="C2238" s="200">
        <v>210027800</v>
      </c>
      <c r="D2238" s="178" t="s">
        <v>2049</v>
      </c>
      <c r="E2238" s="180">
        <v>122161</v>
      </c>
      <c r="F2238" s="192">
        <v>0</v>
      </c>
    </row>
    <row r="2239" spans="1:6" ht="24">
      <c r="A2239" s="190">
        <v>540806</v>
      </c>
      <c r="B2239" s="176" t="s">
        <v>2722</v>
      </c>
      <c r="C2239" s="200">
        <v>211027810</v>
      </c>
      <c r="D2239" s="178" t="s">
        <v>2050</v>
      </c>
      <c r="E2239" s="180">
        <v>64924</v>
      </c>
      <c r="F2239" s="192">
        <v>0</v>
      </c>
    </row>
    <row r="2240" spans="1:6" ht="24">
      <c r="A2240" s="190">
        <v>540806</v>
      </c>
      <c r="B2240" s="176" t="s">
        <v>2722</v>
      </c>
      <c r="C2240" s="174" t="s">
        <v>2051</v>
      </c>
      <c r="D2240" s="178" t="s">
        <v>2052</v>
      </c>
      <c r="E2240" s="180">
        <v>168306</v>
      </c>
      <c r="F2240" s="192">
        <v>0</v>
      </c>
    </row>
    <row r="2241" spans="1:6" ht="24">
      <c r="A2241" s="190">
        <v>540806</v>
      </c>
      <c r="B2241" s="176" t="s">
        <v>2722</v>
      </c>
      <c r="C2241" s="174" t="s">
        <v>2053</v>
      </c>
      <c r="D2241" s="178" t="s">
        <v>2054</v>
      </c>
      <c r="E2241" s="180">
        <v>68611</v>
      </c>
      <c r="F2241" s="192">
        <v>0</v>
      </c>
    </row>
    <row r="2242" spans="1:6" ht="24">
      <c r="A2242" s="190">
        <v>540806</v>
      </c>
      <c r="B2242" s="176" t="s">
        <v>2722</v>
      </c>
      <c r="C2242" s="174" t="s">
        <v>2055</v>
      </c>
      <c r="D2242" s="178" t="s">
        <v>2056</v>
      </c>
      <c r="E2242" s="180">
        <v>135767</v>
      </c>
      <c r="F2242" s="192">
        <v>0</v>
      </c>
    </row>
    <row r="2243" spans="1:6" ht="24">
      <c r="A2243" s="190">
        <v>540806</v>
      </c>
      <c r="B2243" s="176" t="s">
        <v>2722</v>
      </c>
      <c r="C2243" s="174" t="s">
        <v>2057</v>
      </c>
      <c r="D2243" s="178" t="s">
        <v>2058</v>
      </c>
      <c r="E2243" s="180">
        <v>175011</v>
      </c>
      <c r="F2243" s="192">
        <v>0</v>
      </c>
    </row>
    <row r="2244" spans="1:6" ht="24">
      <c r="A2244" s="190">
        <v>540806</v>
      </c>
      <c r="B2244" s="176" t="s">
        <v>2722</v>
      </c>
      <c r="C2244" s="174" t="s">
        <v>2059</v>
      </c>
      <c r="D2244" s="178" t="s">
        <v>2060</v>
      </c>
      <c r="E2244" s="180">
        <v>28913</v>
      </c>
      <c r="F2244" s="192">
        <v>0</v>
      </c>
    </row>
    <row r="2245" spans="1:6" ht="24">
      <c r="A2245" s="190">
        <v>540806</v>
      </c>
      <c r="B2245" s="176" t="s">
        <v>2722</v>
      </c>
      <c r="C2245" s="174" t="s">
        <v>2061</v>
      </c>
      <c r="D2245" s="178" t="s">
        <v>2062</v>
      </c>
      <c r="E2245" s="180">
        <v>62677</v>
      </c>
      <c r="F2245" s="192">
        <v>0</v>
      </c>
    </row>
    <row r="2246" spans="1:6" ht="24">
      <c r="A2246" s="190">
        <v>540806</v>
      </c>
      <c r="B2246" s="176" t="s">
        <v>2722</v>
      </c>
      <c r="C2246" s="174" t="s">
        <v>2063</v>
      </c>
      <c r="D2246" s="178" t="s">
        <v>2064</v>
      </c>
      <c r="E2246" s="180">
        <v>229259</v>
      </c>
      <c r="F2246" s="192">
        <v>0</v>
      </c>
    </row>
    <row r="2247" spans="1:6" ht="24">
      <c r="A2247" s="190">
        <v>540806</v>
      </c>
      <c r="B2247" s="176" t="s">
        <v>2722</v>
      </c>
      <c r="C2247" s="174" t="s">
        <v>2065</v>
      </c>
      <c r="D2247" s="178" t="s">
        <v>2066</v>
      </c>
      <c r="E2247" s="180">
        <v>71358</v>
      </c>
      <c r="F2247" s="192">
        <v>0</v>
      </c>
    </row>
    <row r="2248" spans="1:6" ht="24">
      <c r="A2248" s="190">
        <v>540806</v>
      </c>
      <c r="B2248" s="176" t="s">
        <v>2722</v>
      </c>
      <c r="C2248" s="174">
        <v>214441244</v>
      </c>
      <c r="D2248" s="178" t="s">
        <v>2067</v>
      </c>
      <c r="E2248" s="180">
        <v>25917</v>
      </c>
      <c r="F2248" s="192">
        <v>0</v>
      </c>
    </row>
    <row r="2249" spans="1:6" ht="24">
      <c r="A2249" s="190">
        <v>540806</v>
      </c>
      <c r="B2249" s="176" t="s">
        <v>2722</v>
      </c>
      <c r="C2249" s="174" t="s">
        <v>2068</v>
      </c>
      <c r="D2249" s="178" t="s">
        <v>2069</v>
      </c>
      <c r="E2249" s="180">
        <v>462718</v>
      </c>
      <c r="F2249" s="192">
        <v>0</v>
      </c>
    </row>
    <row r="2250" spans="1:6" ht="24">
      <c r="A2250" s="190">
        <v>540806</v>
      </c>
      <c r="B2250" s="176" t="s">
        <v>2722</v>
      </c>
      <c r="C2250" s="200" t="s">
        <v>2070</v>
      </c>
      <c r="D2250" s="178" t="s">
        <v>2071</v>
      </c>
      <c r="E2250" s="180">
        <v>218992</v>
      </c>
      <c r="F2250" s="192">
        <v>0</v>
      </c>
    </row>
    <row r="2251" spans="1:6" ht="24">
      <c r="A2251" s="190">
        <v>540806</v>
      </c>
      <c r="B2251" s="176" t="s">
        <v>2722</v>
      </c>
      <c r="C2251" s="200" t="s">
        <v>2072</v>
      </c>
      <c r="D2251" s="178" t="s">
        <v>1181</v>
      </c>
      <c r="E2251" s="180">
        <v>137432</v>
      </c>
      <c r="F2251" s="192">
        <v>0</v>
      </c>
    </row>
    <row r="2252" spans="1:6" ht="24">
      <c r="A2252" s="190">
        <v>540806</v>
      </c>
      <c r="B2252" s="176" t="s">
        <v>2722</v>
      </c>
      <c r="C2252" s="200" t="s">
        <v>2073</v>
      </c>
      <c r="D2252" s="178" t="s">
        <v>2074</v>
      </c>
      <c r="E2252" s="180">
        <v>50080</v>
      </c>
      <c r="F2252" s="192">
        <v>0</v>
      </c>
    </row>
    <row r="2253" spans="1:6" ht="24">
      <c r="A2253" s="190">
        <v>540806</v>
      </c>
      <c r="B2253" s="176" t="s">
        <v>2722</v>
      </c>
      <c r="C2253" s="200" t="s">
        <v>2075</v>
      </c>
      <c r="D2253" s="178" t="s">
        <v>2076</v>
      </c>
      <c r="E2253" s="180">
        <v>92290</v>
      </c>
      <c r="F2253" s="192">
        <v>0</v>
      </c>
    </row>
    <row r="2254" spans="1:6" ht="24">
      <c r="A2254" s="190">
        <v>540806</v>
      </c>
      <c r="B2254" s="176" t="s">
        <v>2722</v>
      </c>
      <c r="C2254" s="200" t="s">
        <v>2077</v>
      </c>
      <c r="D2254" s="178" t="s">
        <v>2078</v>
      </c>
      <c r="E2254" s="180">
        <v>159060</v>
      </c>
      <c r="F2254" s="192">
        <v>0</v>
      </c>
    </row>
    <row r="2255" spans="1:6" ht="24">
      <c r="A2255" s="190">
        <v>540806</v>
      </c>
      <c r="B2255" s="176" t="s">
        <v>2722</v>
      </c>
      <c r="C2255" s="200" t="s">
        <v>2079</v>
      </c>
      <c r="D2255" s="178" t="s">
        <v>2080</v>
      </c>
      <c r="E2255" s="180">
        <v>98314</v>
      </c>
      <c r="F2255" s="192">
        <v>0</v>
      </c>
    </row>
    <row r="2256" spans="1:6" ht="24">
      <c r="A2256" s="190">
        <v>540806</v>
      </c>
      <c r="B2256" s="176" t="s">
        <v>2722</v>
      </c>
      <c r="C2256" s="200" t="s">
        <v>2081</v>
      </c>
      <c r="D2256" s="178" t="s">
        <v>2082</v>
      </c>
      <c r="E2256" s="180">
        <v>381963</v>
      </c>
      <c r="F2256" s="192">
        <v>0</v>
      </c>
    </row>
    <row r="2257" spans="1:6" ht="24">
      <c r="A2257" s="190">
        <v>540806</v>
      </c>
      <c r="B2257" s="176" t="s">
        <v>2722</v>
      </c>
      <c r="C2257" s="200">
        <v>218341483</v>
      </c>
      <c r="D2257" s="178" t="s">
        <v>2083</v>
      </c>
      <c r="E2257" s="180">
        <v>56467</v>
      </c>
      <c r="F2257" s="192">
        <v>0</v>
      </c>
    </row>
    <row r="2258" spans="1:6" ht="24">
      <c r="A2258" s="190">
        <v>540806</v>
      </c>
      <c r="B2258" s="176" t="s">
        <v>2722</v>
      </c>
      <c r="C2258" s="200" t="s">
        <v>2084</v>
      </c>
      <c r="D2258" s="178" t="s">
        <v>2085</v>
      </c>
      <c r="E2258" s="180">
        <v>72337</v>
      </c>
      <c r="F2258" s="192">
        <v>0</v>
      </c>
    </row>
    <row r="2259" spans="1:6" ht="24">
      <c r="A2259" s="190">
        <v>540806</v>
      </c>
      <c r="B2259" s="176" t="s">
        <v>2722</v>
      </c>
      <c r="C2259" s="200" t="s">
        <v>2086</v>
      </c>
      <c r="D2259" s="178" t="s">
        <v>2087</v>
      </c>
      <c r="E2259" s="180">
        <v>41996</v>
      </c>
      <c r="F2259" s="192">
        <v>0</v>
      </c>
    </row>
    <row r="2260" spans="1:6" ht="24">
      <c r="A2260" s="190">
        <v>540806</v>
      </c>
      <c r="B2260" s="176" t="s">
        <v>2722</v>
      </c>
      <c r="C2260" s="200" t="s">
        <v>2088</v>
      </c>
      <c r="D2260" s="178" t="s">
        <v>2089</v>
      </c>
      <c r="E2260" s="180">
        <v>174060</v>
      </c>
      <c r="F2260" s="192">
        <v>0</v>
      </c>
    </row>
    <row r="2261" spans="1:6" ht="24">
      <c r="A2261" s="190">
        <v>540806</v>
      </c>
      <c r="B2261" s="176" t="s">
        <v>2722</v>
      </c>
      <c r="C2261" s="200" t="s">
        <v>2090</v>
      </c>
      <c r="D2261" s="178" t="s">
        <v>1636</v>
      </c>
      <c r="E2261" s="180">
        <v>80118</v>
      </c>
      <c r="F2261" s="192">
        <v>0</v>
      </c>
    </row>
    <row r="2262" spans="1:6" ht="24">
      <c r="A2262" s="190">
        <v>540806</v>
      </c>
      <c r="B2262" s="176" t="s">
        <v>2722</v>
      </c>
      <c r="C2262" s="200">
        <v>214841548</v>
      </c>
      <c r="D2262" s="178" t="s">
        <v>2091</v>
      </c>
      <c r="E2262" s="180">
        <v>97773</v>
      </c>
      <c r="F2262" s="192">
        <v>0</v>
      </c>
    </row>
    <row r="2263" spans="1:6" ht="24">
      <c r="A2263" s="190">
        <v>540806</v>
      </c>
      <c r="B2263" s="176" t="s">
        <v>2722</v>
      </c>
      <c r="C2263" s="200" t="s">
        <v>2092</v>
      </c>
      <c r="D2263" s="178" t="s">
        <v>2093</v>
      </c>
      <c r="E2263" s="180">
        <v>757830</v>
      </c>
      <c r="F2263" s="192">
        <v>0</v>
      </c>
    </row>
    <row r="2264" spans="1:6" ht="24">
      <c r="A2264" s="190">
        <v>540806</v>
      </c>
      <c r="B2264" s="176" t="s">
        <v>2722</v>
      </c>
      <c r="C2264" s="200" t="s">
        <v>2094</v>
      </c>
      <c r="D2264" s="178" t="s">
        <v>2095</v>
      </c>
      <c r="E2264" s="180">
        <v>136005</v>
      </c>
      <c r="F2264" s="192">
        <v>0</v>
      </c>
    </row>
    <row r="2265" spans="1:6" ht="24">
      <c r="A2265" s="190">
        <v>540806</v>
      </c>
      <c r="B2265" s="176" t="s">
        <v>2722</v>
      </c>
      <c r="C2265" s="200" t="s">
        <v>2096</v>
      </c>
      <c r="D2265" s="178" t="s">
        <v>2097</v>
      </c>
      <c r="E2265" s="180">
        <v>69400</v>
      </c>
      <c r="F2265" s="192">
        <v>0</v>
      </c>
    </row>
    <row r="2266" spans="1:6" ht="24">
      <c r="A2266" s="190">
        <v>540806</v>
      </c>
      <c r="B2266" s="176" t="s">
        <v>2722</v>
      </c>
      <c r="C2266" s="200" t="s">
        <v>2098</v>
      </c>
      <c r="D2266" s="178" t="s">
        <v>2099</v>
      </c>
      <c r="E2266" s="180">
        <v>204722</v>
      </c>
      <c r="F2266" s="192">
        <v>0</v>
      </c>
    </row>
    <row r="2267" spans="1:6" ht="24">
      <c r="A2267" s="190">
        <v>540806</v>
      </c>
      <c r="B2267" s="176" t="s">
        <v>2722</v>
      </c>
      <c r="C2267" s="200" t="s">
        <v>2100</v>
      </c>
      <c r="D2267" s="178" t="s">
        <v>1586</v>
      </c>
      <c r="E2267" s="180">
        <v>75605</v>
      </c>
      <c r="F2267" s="192">
        <v>0</v>
      </c>
    </row>
    <row r="2268" spans="1:6" ht="24">
      <c r="A2268" s="190">
        <v>540806</v>
      </c>
      <c r="B2268" s="176" t="s">
        <v>2722</v>
      </c>
      <c r="C2268" s="200" t="s">
        <v>2101</v>
      </c>
      <c r="D2268" s="178" t="s">
        <v>2102</v>
      </c>
      <c r="E2268" s="180">
        <v>110641</v>
      </c>
      <c r="F2268" s="192">
        <v>0</v>
      </c>
    </row>
    <row r="2269" spans="1:6" ht="24">
      <c r="A2269" s="190">
        <v>540806</v>
      </c>
      <c r="B2269" s="176" t="s">
        <v>2722</v>
      </c>
      <c r="C2269" s="200">
        <v>219141791</v>
      </c>
      <c r="D2269" s="178" t="s">
        <v>2103</v>
      </c>
      <c r="E2269" s="180">
        <v>126013</v>
      </c>
      <c r="F2269" s="192">
        <v>0</v>
      </c>
    </row>
    <row r="2270" spans="1:6" ht="24">
      <c r="A2270" s="190">
        <v>540806</v>
      </c>
      <c r="B2270" s="176" t="s">
        <v>2722</v>
      </c>
      <c r="C2270" s="200" t="s">
        <v>2104</v>
      </c>
      <c r="D2270" s="178" t="s">
        <v>2105</v>
      </c>
      <c r="E2270" s="180">
        <v>71485</v>
      </c>
      <c r="F2270" s="192">
        <v>0</v>
      </c>
    </row>
    <row r="2271" spans="1:6" ht="24">
      <c r="A2271" s="190">
        <v>540806</v>
      </c>
      <c r="B2271" s="176" t="s">
        <v>2722</v>
      </c>
      <c r="C2271" s="200" t="s">
        <v>2106</v>
      </c>
      <c r="D2271" s="178" t="s">
        <v>2107</v>
      </c>
      <c r="E2271" s="180">
        <v>111667</v>
      </c>
      <c r="F2271" s="192">
        <v>0</v>
      </c>
    </row>
    <row r="2272" spans="1:6" ht="24">
      <c r="A2272" s="190">
        <v>540806</v>
      </c>
      <c r="B2272" s="176" t="s">
        <v>2722</v>
      </c>
      <c r="C2272" s="200" t="s">
        <v>2108</v>
      </c>
      <c r="D2272" s="178" t="s">
        <v>2109</v>
      </c>
      <c r="E2272" s="180">
        <v>62766</v>
      </c>
      <c r="F2272" s="192">
        <v>0</v>
      </c>
    </row>
    <row r="2273" spans="1:6" ht="24">
      <c r="A2273" s="190">
        <v>540806</v>
      </c>
      <c r="B2273" s="176" t="s">
        <v>2722</v>
      </c>
      <c r="C2273" s="200" t="s">
        <v>2110</v>
      </c>
      <c r="D2273" s="178" t="s">
        <v>2111</v>
      </c>
      <c r="E2273" s="180">
        <v>145208</v>
      </c>
      <c r="F2273" s="192">
        <v>0</v>
      </c>
    </row>
    <row r="2274" spans="1:6" ht="24">
      <c r="A2274" s="190">
        <v>540806</v>
      </c>
      <c r="B2274" s="176" t="s">
        <v>2722</v>
      </c>
      <c r="C2274" s="200" t="s">
        <v>2112</v>
      </c>
      <c r="D2274" s="178" t="s">
        <v>2113</v>
      </c>
      <c r="E2274" s="180">
        <v>55894</v>
      </c>
      <c r="F2274" s="192">
        <v>0</v>
      </c>
    </row>
    <row r="2275" spans="1:6" ht="24">
      <c r="A2275" s="190">
        <v>540806</v>
      </c>
      <c r="B2275" s="176" t="s">
        <v>2722</v>
      </c>
      <c r="C2275" s="200" t="s">
        <v>2114</v>
      </c>
      <c r="D2275" s="178" t="s">
        <v>2115</v>
      </c>
      <c r="E2275" s="180">
        <v>64005</v>
      </c>
      <c r="F2275" s="192">
        <v>0</v>
      </c>
    </row>
    <row r="2276" spans="1:6" ht="24">
      <c r="A2276" s="190">
        <v>540806</v>
      </c>
      <c r="B2276" s="176" t="s">
        <v>2722</v>
      </c>
      <c r="C2276" s="174" t="s">
        <v>2116</v>
      </c>
      <c r="D2276" s="178" t="s">
        <v>2117</v>
      </c>
      <c r="E2276" s="180">
        <v>1010164</v>
      </c>
      <c r="F2276" s="192">
        <v>0</v>
      </c>
    </row>
    <row r="2277" spans="1:6" ht="24">
      <c r="A2277" s="190">
        <v>540806</v>
      </c>
      <c r="B2277" s="176" t="s">
        <v>2722</v>
      </c>
      <c r="C2277" s="174" t="s">
        <v>2118</v>
      </c>
      <c r="D2277" s="178" t="s">
        <v>1646</v>
      </c>
      <c r="E2277" s="180">
        <v>94668</v>
      </c>
      <c r="F2277" s="192">
        <v>0</v>
      </c>
    </row>
    <row r="2278" spans="1:6" ht="24">
      <c r="A2278" s="190">
        <v>540806</v>
      </c>
      <c r="B2278" s="176" t="s">
        <v>2722</v>
      </c>
      <c r="C2278" s="174" t="s">
        <v>2119</v>
      </c>
      <c r="D2278" s="178" t="s">
        <v>2120</v>
      </c>
      <c r="E2278" s="180">
        <v>195108</v>
      </c>
      <c r="F2278" s="192">
        <v>0</v>
      </c>
    </row>
    <row r="2279" spans="1:6" ht="24">
      <c r="A2279" s="190">
        <v>540806</v>
      </c>
      <c r="B2279" s="176" t="s">
        <v>2722</v>
      </c>
      <c r="C2279" s="200" t="s">
        <v>2121</v>
      </c>
      <c r="D2279" s="178" t="s">
        <v>2122</v>
      </c>
      <c r="E2279" s="180">
        <v>195598</v>
      </c>
      <c r="F2279" s="192">
        <v>0</v>
      </c>
    </row>
    <row r="2280" spans="1:6" ht="24">
      <c r="A2280" s="190">
        <v>540806</v>
      </c>
      <c r="B2280" s="176" t="s">
        <v>2722</v>
      </c>
      <c r="C2280" s="174" t="s">
        <v>2123</v>
      </c>
      <c r="D2280" s="178" t="s">
        <v>2124</v>
      </c>
      <c r="E2280" s="180">
        <v>58498</v>
      </c>
      <c r="F2280" s="192">
        <v>0</v>
      </c>
    </row>
    <row r="2281" spans="1:6" ht="24">
      <c r="A2281" s="190">
        <v>540806</v>
      </c>
      <c r="B2281" s="176" t="s">
        <v>2722</v>
      </c>
      <c r="C2281" s="174" t="s">
        <v>2125</v>
      </c>
      <c r="D2281" s="178" t="s">
        <v>2126</v>
      </c>
      <c r="E2281" s="180">
        <v>53641</v>
      </c>
      <c r="F2281" s="192">
        <v>0</v>
      </c>
    </row>
    <row r="2282" spans="1:6" ht="24">
      <c r="A2282" s="190">
        <v>540806</v>
      </c>
      <c r="B2282" s="176" t="s">
        <v>2722</v>
      </c>
      <c r="C2282" s="174" t="s">
        <v>2127</v>
      </c>
      <c r="D2282" s="178" t="s">
        <v>2128</v>
      </c>
      <c r="E2282" s="180">
        <v>258364</v>
      </c>
      <c r="F2282" s="192">
        <v>0</v>
      </c>
    </row>
    <row r="2283" spans="1:6" ht="24">
      <c r="A2283" s="190">
        <v>540806</v>
      </c>
      <c r="B2283" s="176" t="s">
        <v>2722</v>
      </c>
      <c r="C2283" s="174" t="s">
        <v>2129</v>
      </c>
      <c r="D2283" s="178" t="s">
        <v>2130</v>
      </c>
      <c r="E2283" s="180">
        <v>89260</v>
      </c>
      <c r="F2283" s="192">
        <v>0</v>
      </c>
    </row>
    <row r="2284" spans="1:6" ht="24">
      <c r="A2284" s="190">
        <v>540806</v>
      </c>
      <c r="B2284" s="176" t="s">
        <v>2722</v>
      </c>
      <c r="C2284" s="174" t="s">
        <v>2131</v>
      </c>
      <c r="D2284" s="178" t="s">
        <v>2132</v>
      </c>
      <c r="E2284" s="180">
        <v>22454</v>
      </c>
      <c r="F2284" s="192">
        <v>0</v>
      </c>
    </row>
    <row r="2285" spans="1:6" ht="24">
      <c r="A2285" s="190">
        <v>540806</v>
      </c>
      <c r="B2285" s="176" t="s">
        <v>2722</v>
      </c>
      <c r="C2285" s="174" t="s">
        <v>2133</v>
      </c>
      <c r="D2285" s="178" t="s">
        <v>1734</v>
      </c>
      <c r="E2285" s="180">
        <v>623695</v>
      </c>
      <c r="F2285" s="192">
        <v>0</v>
      </c>
    </row>
    <row r="2286" spans="1:6" ht="24">
      <c r="A2286" s="190">
        <v>540806</v>
      </c>
      <c r="B2286" s="176" t="s">
        <v>2722</v>
      </c>
      <c r="C2286" s="174" t="s">
        <v>2134</v>
      </c>
      <c r="D2286" s="178" t="s">
        <v>2135</v>
      </c>
      <c r="E2286" s="180">
        <v>289368</v>
      </c>
      <c r="F2286" s="192">
        <v>0</v>
      </c>
    </row>
    <row r="2287" spans="1:6" ht="24">
      <c r="A2287" s="190">
        <v>540806</v>
      </c>
      <c r="B2287" s="176" t="s">
        <v>2722</v>
      </c>
      <c r="C2287" s="174" t="s">
        <v>2136</v>
      </c>
      <c r="D2287" s="178" t="s">
        <v>2137</v>
      </c>
      <c r="E2287" s="180">
        <v>722205</v>
      </c>
      <c r="F2287" s="192">
        <v>0</v>
      </c>
    </row>
    <row r="2288" spans="1:6" ht="24">
      <c r="A2288" s="190">
        <v>540806</v>
      </c>
      <c r="B2288" s="176" t="s">
        <v>2722</v>
      </c>
      <c r="C2288" s="174" t="s">
        <v>2138</v>
      </c>
      <c r="D2288" s="178" t="s">
        <v>2139</v>
      </c>
      <c r="E2288" s="180">
        <v>68122</v>
      </c>
      <c r="F2288" s="192">
        <v>0</v>
      </c>
    </row>
    <row r="2289" spans="1:6" ht="24">
      <c r="A2289" s="190">
        <v>540806</v>
      </c>
      <c r="B2289" s="176" t="s">
        <v>2722</v>
      </c>
      <c r="C2289" s="174" t="s">
        <v>2140</v>
      </c>
      <c r="D2289" s="178" t="s">
        <v>1427</v>
      </c>
      <c r="E2289" s="180">
        <v>159990</v>
      </c>
      <c r="F2289" s="192">
        <v>0</v>
      </c>
    </row>
    <row r="2290" spans="1:6" ht="24">
      <c r="A2290" s="190">
        <v>540806</v>
      </c>
      <c r="B2290" s="176" t="s">
        <v>2722</v>
      </c>
      <c r="C2290" s="200" t="s">
        <v>2141</v>
      </c>
      <c r="D2290" s="178" t="s">
        <v>2142</v>
      </c>
      <c r="E2290" s="180">
        <v>118119</v>
      </c>
      <c r="F2290" s="192">
        <v>0</v>
      </c>
    </row>
    <row r="2291" spans="1:6" ht="24">
      <c r="A2291" s="190">
        <v>540806</v>
      </c>
      <c r="B2291" s="176" t="s">
        <v>2722</v>
      </c>
      <c r="C2291" s="200" t="s">
        <v>2143</v>
      </c>
      <c r="D2291" s="178" t="s">
        <v>2144</v>
      </c>
      <c r="E2291" s="180">
        <v>301935</v>
      </c>
      <c r="F2291" s="192">
        <v>0</v>
      </c>
    </row>
    <row r="2292" spans="1:6" ht="24">
      <c r="A2292" s="190">
        <v>540806</v>
      </c>
      <c r="B2292" s="176" t="s">
        <v>2722</v>
      </c>
      <c r="C2292" s="200" t="s">
        <v>2145</v>
      </c>
      <c r="D2292" s="178" t="s">
        <v>2146</v>
      </c>
      <c r="E2292" s="180">
        <v>323880</v>
      </c>
      <c r="F2292" s="192">
        <v>0</v>
      </c>
    </row>
    <row r="2293" spans="1:6" ht="24">
      <c r="A2293" s="190">
        <v>540806</v>
      </c>
      <c r="B2293" s="176" t="s">
        <v>2722</v>
      </c>
      <c r="C2293" s="200" t="s">
        <v>2147</v>
      </c>
      <c r="D2293" s="178" t="s">
        <v>2148</v>
      </c>
      <c r="E2293" s="180">
        <v>84268</v>
      </c>
      <c r="F2293" s="192">
        <v>0</v>
      </c>
    </row>
    <row r="2294" spans="1:6" ht="24">
      <c r="A2294" s="190">
        <v>540806</v>
      </c>
      <c r="B2294" s="176" t="s">
        <v>2722</v>
      </c>
      <c r="C2294" s="200" t="s">
        <v>2149</v>
      </c>
      <c r="D2294" s="178" t="s">
        <v>2150</v>
      </c>
      <c r="E2294" s="180">
        <v>174208</v>
      </c>
      <c r="F2294" s="192">
        <v>0</v>
      </c>
    </row>
    <row r="2295" spans="1:6" ht="24">
      <c r="A2295" s="190">
        <v>540806</v>
      </c>
      <c r="B2295" s="176" t="s">
        <v>2722</v>
      </c>
      <c r="C2295" s="200" t="s">
        <v>2151</v>
      </c>
      <c r="D2295" s="178" t="s">
        <v>1157</v>
      </c>
      <c r="E2295" s="180">
        <v>105938</v>
      </c>
      <c r="F2295" s="192">
        <v>0</v>
      </c>
    </row>
    <row r="2296" spans="1:6" ht="24">
      <c r="A2296" s="190">
        <v>540806</v>
      </c>
      <c r="B2296" s="176" t="s">
        <v>2722</v>
      </c>
      <c r="C2296" s="200">
        <v>214547245</v>
      </c>
      <c r="D2296" s="178" t="s">
        <v>2152</v>
      </c>
      <c r="E2296" s="180">
        <v>704227</v>
      </c>
      <c r="F2296" s="192">
        <v>0</v>
      </c>
    </row>
    <row r="2297" spans="1:6" ht="24">
      <c r="A2297" s="190">
        <v>540806</v>
      </c>
      <c r="B2297" s="176" t="s">
        <v>2722</v>
      </c>
      <c r="C2297" s="200">
        <v>215847258</v>
      </c>
      <c r="D2297" s="178" t="s">
        <v>2153</v>
      </c>
      <c r="E2297" s="180">
        <v>143960</v>
      </c>
      <c r="F2297" s="192">
        <v>0</v>
      </c>
    </row>
    <row r="2298" spans="1:6" ht="24">
      <c r="A2298" s="190">
        <v>540806</v>
      </c>
      <c r="B2298" s="176" t="s">
        <v>2722</v>
      </c>
      <c r="C2298" s="200">
        <v>216847268</v>
      </c>
      <c r="D2298" s="178" t="s">
        <v>2154</v>
      </c>
      <c r="E2298" s="180">
        <v>201561</v>
      </c>
      <c r="F2298" s="192">
        <v>0</v>
      </c>
    </row>
    <row r="2299" spans="1:6" ht="24">
      <c r="A2299" s="190">
        <v>540806</v>
      </c>
      <c r="B2299" s="176" t="s">
        <v>2722</v>
      </c>
      <c r="C2299" s="200">
        <v>218847288</v>
      </c>
      <c r="D2299" s="178" t="s">
        <v>2155</v>
      </c>
      <c r="E2299" s="180">
        <v>497476</v>
      </c>
      <c r="F2299" s="192">
        <v>0</v>
      </c>
    </row>
    <row r="2300" spans="1:6" ht="24">
      <c r="A2300" s="190">
        <v>540806</v>
      </c>
      <c r="B2300" s="176" t="s">
        <v>2722</v>
      </c>
      <c r="C2300" s="200">
        <v>211847318</v>
      </c>
      <c r="D2300" s="178" t="s">
        <v>2156</v>
      </c>
      <c r="E2300" s="180">
        <v>321577</v>
      </c>
      <c r="F2300" s="192">
        <v>0</v>
      </c>
    </row>
    <row r="2301" spans="1:6" ht="24">
      <c r="A2301" s="190">
        <v>540806</v>
      </c>
      <c r="B2301" s="176" t="s">
        <v>2722</v>
      </c>
      <c r="C2301" s="200">
        <v>216047460</v>
      </c>
      <c r="D2301" s="178" t="s">
        <v>2157</v>
      </c>
      <c r="E2301" s="180">
        <v>209611</v>
      </c>
      <c r="F2301" s="192">
        <v>0</v>
      </c>
    </row>
    <row r="2302" spans="1:6" ht="24">
      <c r="A2302" s="190">
        <v>540806</v>
      </c>
      <c r="B2302" s="176" t="s">
        <v>2722</v>
      </c>
      <c r="C2302" s="200">
        <v>214147541</v>
      </c>
      <c r="D2302" s="178" t="s">
        <v>2158</v>
      </c>
      <c r="E2302" s="180">
        <v>101103</v>
      </c>
      <c r="F2302" s="192">
        <v>0</v>
      </c>
    </row>
    <row r="2303" spans="1:6" ht="24">
      <c r="A2303" s="190">
        <v>540806</v>
      </c>
      <c r="B2303" s="176" t="s">
        <v>2722</v>
      </c>
      <c r="C2303" s="200">
        <v>214547545</v>
      </c>
      <c r="D2303" s="178" t="s">
        <v>2159</v>
      </c>
      <c r="E2303" s="180">
        <v>187122</v>
      </c>
      <c r="F2303" s="192">
        <v>0</v>
      </c>
    </row>
    <row r="2304" spans="1:6" ht="24">
      <c r="A2304" s="190">
        <v>540806</v>
      </c>
      <c r="B2304" s="176" t="s">
        <v>2722</v>
      </c>
      <c r="C2304" s="200">
        <v>215147551</v>
      </c>
      <c r="D2304" s="178" t="s">
        <v>2160</v>
      </c>
      <c r="E2304" s="180">
        <v>392053</v>
      </c>
      <c r="F2304" s="192">
        <v>0</v>
      </c>
    </row>
    <row r="2305" spans="1:6" ht="24">
      <c r="A2305" s="190">
        <v>540806</v>
      </c>
      <c r="B2305" s="176" t="s">
        <v>2722</v>
      </c>
      <c r="C2305" s="200">
        <v>215547555</v>
      </c>
      <c r="D2305" s="178" t="s">
        <v>2161</v>
      </c>
      <c r="E2305" s="180">
        <v>610676</v>
      </c>
      <c r="F2305" s="192">
        <v>0</v>
      </c>
    </row>
    <row r="2306" spans="1:6" ht="24">
      <c r="A2306" s="190">
        <v>540806</v>
      </c>
      <c r="B2306" s="176" t="s">
        <v>2722</v>
      </c>
      <c r="C2306" s="200">
        <v>217047570</v>
      </c>
      <c r="D2306" s="178" t="s">
        <v>2162</v>
      </c>
      <c r="E2306" s="180">
        <v>236966</v>
      </c>
      <c r="F2306" s="192">
        <v>0</v>
      </c>
    </row>
    <row r="2307" spans="1:6" ht="24">
      <c r="A2307" s="190">
        <v>540806</v>
      </c>
      <c r="B2307" s="176" t="s">
        <v>2722</v>
      </c>
      <c r="C2307" s="200">
        <v>210547605</v>
      </c>
      <c r="D2307" s="178" t="s">
        <v>2163</v>
      </c>
      <c r="E2307" s="180">
        <v>89689</v>
      </c>
      <c r="F2307" s="192">
        <v>0</v>
      </c>
    </row>
    <row r="2308" spans="1:6" ht="24">
      <c r="A2308" s="190">
        <v>540806</v>
      </c>
      <c r="B2308" s="176" t="s">
        <v>2722</v>
      </c>
      <c r="C2308" s="200">
        <v>216047660</v>
      </c>
      <c r="D2308" s="178" t="s">
        <v>2164</v>
      </c>
      <c r="E2308" s="180">
        <v>135618</v>
      </c>
      <c r="F2308" s="192">
        <v>0</v>
      </c>
    </row>
    <row r="2309" spans="1:6" ht="24">
      <c r="A2309" s="190">
        <v>540806</v>
      </c>
      <c r="B2309" s="176" t="s">
        <v>2722</v>
      </c>
      <c r="C2309" s="200">
        <v>217547675</v>
      </c>
      <c r="D2309" s="178" t="s">
        <v>1639</v>
      </c>
      <c r="E2309" s="180">
        <v>116071</v>
      </c>
      <c r="F2309" s="192">
        <v>0</v>
      </c>
    </row>
    <row r="2310" spans="1:6" ht="24">
      <c r="A2310" s="190">
        <v>540806</v>
      </c>
      <c r="B2310" s="176" t="s">
        <v>2722</v>
      </c>
      <c r="C2310" s="200">
        <v>219247692</v>
      </c>
      <c r="D2310" s="178" t="s">
        <v>1696</v>
      </c>
      <c r="E2310" s="180">
        <v>251955</v>
      </c>
      <c r="F2310" s="192">
        <v>0</v>
      </c>
    </row>
    <row r="2311" spans="1:6" ht="24">
      <c r="A2311" s="190">
        <v>540806</v>
      </c>
      <c r="B2311" s="176" t="s">
        <v>2722</v>
      </c>
      <c r="C2311" s="200">
        <v>210347703</v>
      </c>
      <c r="D2311" s="178" t="s">
        <v>2165</v>
      </c>
      <c r="E2311" s="180">
        <v>134869</v>
      </c>
      <c r="F2311" s="192">
        <v>0</v>
      </c>
    </row>
    <row r="2312" spans="1:6" ht="24">
      <c r="A2312" s="190">
        <v>540806</v>
      </c>
      <c r="B2312" s="176" t="s">
        <v>2722</v>
      </c>
      <c r="C2312" s="200">
        <v>210747707</v>
      </c>
      <c r="D2312" s="178" t="s">
        <v>2166</v>
      </c>
      <c r="E2312" s="180">
        <v>255955</v>
      </c>
      <c r="F2312" s="192">
        <v>0</v>
      </c>
    </row>
    <row r="2313" spans="1:6" ht="24">
      <c r="A2313" s="190">
        <v>540806</v>
      </c>
      <c r="B2313" s="176" t="s">
        <v>2722</v>
      </c>
      <c r="C2313" s="200">
        <v>212047720</v>
      </c>
      <c r="D2313" s="178" t="s">
        <v>2167</v>
      </c>
      <c r="E2313" s="180">
        <v>127912</v>
      </c>
      <c r="F2313" s="192">
        <v>0</v>
      </c>
    </row>
    <row r="2314" spans="1:6" ht="24">
      <c r="A2314" s="190">
        <v>540806</v>
      </c>
      <c r="B2314" s="176" t="s">
        <v>2722</v>
      </c>
      <c r="C2314" s="200">
        <v>214547745</v>
      </c>
      <c r="D2314" s="178" t="s">
        <v>2168</v>
      </c>
      <c r="E2314" s="180">
        <v>257758</v>
      </c>
      <c r="F2314" s="192">
        <v>0</v>
      </c>
    </row>
    <row r="2315" spans="1:6" ht="24">
      <c r="A2315" s="190">
        <v>540806</v>
      </c>
      <c r="B2315" s="176" t="s">
        <v>2722</v>
      </c>
      <c r="C2315" s="200">
        <v>219847798</v>
      </c>
      <c r="D2315" s="178" t="s">
        <v>2169</v>
      </c>
      <c r="E2315" s="180">
        <v>191208</v>
      </c>
      <c r="F2315" s="192">
        <v>0</v>
      </c>
    </row>
    <row r="2316" spans="1:6" ht="24">
      <c r="A2316" s="190">
        <v>540806</v>
      </c>
      <c r="B2316" s="176" t="s">
        <v>2722</v>
      </c>
      <c r="C2316" s="200">
        <v>216047960</v>
      </c>
      <c r="D2316" s="178" t="s">
        <v>2170</v>
      </c>
      <c r="E2316" s="180">
        <v>94132</v>
      </c>
      <c r="F2316" s="192">
        <v>0</v>
      </c>
    </row>
    <row r="2317" spans="1:6" ht="24">
      <c r="A2317" s="190">
        <v>540806</v>
      </c>
      <c r="B2317" s="176" t="s">
        <v>2722</v>
      </c>
      <c r="C2317" s="200">
        <v>218047980</v>
      </c>
      <c r="D2317" s="178" t="s">
        <v>2171</v>
      </c>
      <c r="E2317" s="180">
        <v>630670</v>
      </c>
      <c r="F2317" s="192">
        <v>0</v>
      </c>
    </row>
    <row r="2318" spans="1:6" ht="24">
      <c r="A2318" s="190">
        <v>540806</v>
      </c>
      <c r="B2318" s="176" t="s">
        <v>2722</v>
      </c>
      <c r="C2318" s="200">
        <v>210650006</v>
      </c>
      <c r="D2318" s="178" t="s">
        <v>2172</v>
      </c>
      <c r="E2318" s="180">
        <v>463466</v>
      </c>
      <c r="F2318" s="192">
        <v>0</v>
      </c>
    </row>
    <row r="2319" spans="1:6" ht="24">
      <c r="A2319" s="190">
        <v>540806</v>
      </c>
      <c r="B2319" s="176" t="s">
        <v>2722</v>
      </c>
      <c r="C2319" s="200">
        <v>211050110</v>
      </c>
      <c r="D2319" s="178" t="s">
        <v>2173</v>
      </c>
      <c r="E2319" s="180">
        <v>25858</v>
      </c>
      <c r="F2319" s="192">
        <v>0</v>
      </c>
    </row>
    <row r="2320" spans="1:6" ht="24">
      <c r="A2320" s="190">
        <v>540806</v>
      </c>
      <c r="B2320" s="176" t="s">
        <v>2722</v>
      </c>
      <c r="C2320" s="200">
        <v>212450124</v>
      </c>
      <c r="D2320" s="178" t="s">
        <v>2174</v>
      </c>
      <c r="E2320" s="180">
        <v>28879</v>
      </c>
      <c r="F2320" s="192">
        <v>0</v>
      </c>
    </row>
    <row r="2321" spans="1:6" ht="24">
      <c r="A2321" s="190">
        <v>540806</v>
      </c>
      <c r="B2321" s="176" t="s">
        <v>2722</v>
      </c>
      <c r="C2321" s="200">
        <v>215050150</v>
      </c>
      <c r="D2321" s="178" t="s">
        <v>2175</v>
      </c>
      <c r="E2321" s="180">
        <v>58133</v>
      </c>
      <c r="F2321" s="192">
        <v>0</v>
      </c>
    </row>
    <row r="2322" spans="1:6" ht="24">
      <c r="A2322" s="190">
        <v>540806</v>
      </c>
      <c r="B2322" s="176" t="s">
        <v>2722</v>
      </c>
      <c r="C2322" s="200">
        <v>212350223</v>
      </c>
      <c r="D2322" s="178" t="s">
        <v>2176</v>
      </c>
      <c r="E2322" s="180">
        <v>35637</v>
      </c>
      <c r="F2322" s="192">
        <v>0</v>
      </c>
    </row>
    <row r="2323" spans="1:6" ht="24">
      <c r="A2323" s="190">
        <v>540806</v>
      </c>
      <c r="B2323" s="176" t="s">
        <v>2722</v>
      </c>
      <c r="C2323" s="200">
        <v>212650226</v>
      </c>
      <c r="D2323" s="178" t="s">
        <v>2177</v>
      </c>
      <c r="E2323" s="180">
        <v>134033</v>
      </c>
      <c r="F2323" s="192">
        <v>0</v>
      </c>
    </row>
    <row r="2324" spans="1:6" ht="24">
      <c r="A2324" s="190">
        <v>540806</v>
      </c>
      <c r="B2324" s="176" t="s">
        <v>2722</v>
      </c>
      <c r="C2324" s="200">
        <v>214550245</v>
      </c>
      <c r="D2324" s="178" t="s">
        <v>2178</v>
      </c>
      <c r="E2324" s="180">
        <v>21980</v>
      </c>
      <c r="F2324" s="192">
        <v>0</v>
      </c>
    </row>
    <row r="2325" spans="1:6" ht="24">
      <c r="A2325" s="190">
        <v>540806</v>
      </c>
      <c r="B2325" s="176" t="s">
        <v>2722</v>
      </c>
      <c r="C2325" s="200">
        <v>215150251</v>
      </c>
      <c r="D2325" s="178" t="s">
        <v>2179</v>
      </c>
      <c r="E2325" s="180">
        <v>45212</v>
      </c>
      <c r="F2325" s="192">
        <v>0</v>
      </c>
    </row>
    <row r="2326" spans="1:6" ht="24">
      <c r="A2326" s="190">
        <v>540806</v>
      </c>
      <c r="B2326" s="176" t="s">
        <v>2722</v>
      </c>
      <c r="C2326" s="200">
        <v>217050270</v>
      </c>
      <c r="D2326" s="178" t="s">
        <v>2180</v>
      </c>
      <c r="E2326" s="180">
        <v>28946</v>
      </c>
      <c r="F2326" s="192">
        <v>0</v>
      </c>
    </row>
    <row r="2327" spans="1:6" ht="24">
      <c r="A2327" s="190">
        <v>540806</v>
      </c>
      <c r="B2327" s="176" t="s">
        <v>2722</v>
      </c>
      <c r="C2327" s="200">
        <v>218750287</v>
      </c>
      <c r="D2327" s="178" t="s">
        <v>2181</v>
      </c>
      <c r="E2327" s="180">
        <v>73151</v>
      </c>
      <c r="F2327" s="192">
        <v>0</v>
      </c>
    </row>
    <row r="2328" spans="1:6" ht="24">
      <c r="A2328" s="190">
        <v>540806</v>
      </c>
      <c r="B2328" s="176" t="s">
        <v>2722</v>
      </c>
      <c r="C2328" s="200">
        <v>211350313</v>
      </c>
      <c r="D2328" s="178" t="s">
        <v>1179</v>
      </c>
      <c r="E2328" s="180">
        <v>384510</v>
      </c>
      <c r="F2328" s="192">
        <v>0</v>
      </c>
    </row>
    <row r="2329" spans="1:6" ht="24">
      <c r="A2329" s="190">
        <v>540806</v>
      </c>
      <c r="B2329" s="176" t="s">
        <v>2722</v>
      </c>
      <c r="C2329" s="200">
        <v>211850318</v>
      </c>
      <c r="D2329" s="178" t="s">
        <v>2156</v>
      </c>
      <c r="E2329" s="180">
        <v>75810</v>
      </c>
      <c r="F2329" s="192">
        <v>0</v>
      </c>
    </row>
    <row r="2330" spans="1:6" ht="24">
      <c r="A2330" s="190">
        <v>540806</v>
      </c>
      <c r="B2330" s="176" t="s">
        <v>2722</v>
      </c>
      <c r="C2330" s="200">
        <v>212550325</v>
      </c>
      <c r="D2330" s="178" t="s">
        <v>2182</v>
      </c>
      <c r="E2330" s="180">
        <v>70741</v>
      </c>
      <c r="F2330" s="192">
        <v>0</v>
      </c>
    </row>
    <row r="2331" spans="1:6" ht="24">
      <c r="A2331" s="190">
        <v>540806</v>
      </c>
      <c r="B2331" s="176" t="s">
        <v>2722</v>
      </c>
      <c r="C2331" s="200">
        <v>213050330</v>
      </c>
      <c r="D2331" s="178" t="s">
        <v>2183</v>
      </c>
      <c r="E2331" s="180">
        <v>86815</v>
      </c>
      <c r="F2331" s="192">
        <v>0</v>
      </c>
    </row>
    <row r="2332" spans="1:6" ht="24">
      <c r="A2332" s="190">
        <v>540806</v>
      </c>
      <c r="B2332" s="176" t="s">
        <v>2722</v>
      </c>
      <c r="C2332" s="200">
        <v>215050350</v>
      </c>
      <c r="D2332" s="178" t="s">
        <v>2184</v>
      </c>
      <c r="E2332" s="180">
        <v>168318</v>
      </c>
      <c r="F2332" s="192">
        <v>0</v>
      </c>
    </row>
    <row r="2333" spans="1:6" ht="24">
      <c r="A2333" s="190">
        <v>540806</v>
      </c>
      <c r="B2333" s="176" t="s">
        <v>2722</v>
      </c>
      <c r="C2333" s="200">
        <v>217050370</v>
      </c>
      <c r="D2333" s="178" t="s">
        <v>2185</v>
      </c>
      <c r="E2333" s="180">
        <v>78155</v>
      </c>
      <c r="F2333" s="192">
        <v>0</v>
      </c>
    </row>
    <row r="2334" spans="1:6" ht="24">
      <c r="A2334" s="190">
        <v>540806</v>
      </c>
      <c r="B2334" s="176" t="s">
        <v>2722</v>
      </c>
      <c r="C2334" s="200">
        <v>210050400</v>
      </c>
      <c r="D2334" s="178" t="s">
        <v>2186</v>
      </c>
      <c r="E2334" s="180">
        <v>71337</v>
      </c>
      <c r="F2334" s="192">
        <v>0</v>
      </c>
    </row>
    <row r="2335" spans="1:6" ht="24">
      <c r="A2335" s="190">
        <v>540806</v>
      </c>
      <c r="B2335" s="176" t="s">
        <v>2722</v>
      </c>
      <c r="C2335" s="200">
        <v>215050450</v>
      </c>
      <c r="D2335" s="178" t="s">
        <v>2187</v>
      </c>
      <c r="E2335" s="180">
        <v>92141</v>
      </c>
      <c r="F2335" s="192">
        <v>0</v>
      </c>
    </row>
    <row r="2336" spans="1:6" ht="24">
      <c r="A2336" s="190">
        <v>540806</v>
      </c>
      <c r="B2336" s="176" t="s">
        <v>2722</v>
      </c>
      <c r="C2336" s="200">
        <v>216850568</v>
      </c>
      <c r="D2336" s="178" t="s">
        <v>2188</v>
      </c>
      <c r="E2336" s="180">
        <v>151579</v>
      </c>
      <c r="F2336" s="192">
        <v>0</v>
      </c>
    </row>
    <row r="2337" spans="1:6" ht="24">
      <c r="A2337" s="190">
        <v>540806</v>
      </c>
      <c r="B2337" s="176" t="s">
        <v>2722</v>
      </c>
      <c r="C2337" s="200">
        <v>217350573</v>
      </c>
      <c r="D2337" s="178" t="s">
        <v>2189</v>
      </c>
      <c r="E2337" s="180">
        <v>208009</v>
      </c>
      <c r="F2337" s="192">
        <v>0</v>
      </c>
    </row>
    <row r="2338" spans="1:6" ht="24">
      <c r="A2338" s="190">
        <v>540806</v>
      </c>
      <c r="B2338" s="176" t="s">
        <v>2722</v>
      </c>
      <c r="C2338" s="200">
        <v>217750577</v>
      </c>
      <c r="D2338" s="178" t="s">
        <v>2190</v>
      </c>
      <c r="E2338" s="180">
        <v>72072</v>
      </c>
      <c r="F2338" s="192">
        <v>0</v>
      </c>
    </row>
    <row r="2339" spans="1:6" ht="24">
      <c r="A2339" s="190">
        <v>540806</v>
      </c>
      <c r="B2339" s="176" t="s">
        <v>2722</v>
      </c>
      <c r="C2339" s="200">
        <v>219050590</v>
      </c>
      <c r="D2339" s="178" t="s">
        <v>1662</v>
      </c>
      <c r="E2339" s="180">
        <v>127339</v>
      </c>
      <c r="F2339" s="192">
        <v>0</v>
      </c>
    </row>
    <row r="2340" spans="1:6" ht="24">
      <c r="A2340" s="190">
        <v>540806</v>
      </c>
      <c r="B2340" s="176" t="s">
        <v>2722</v>
      </c>
      <c r="C2340" s="200">
        <v>210650606</v>
      </c>
      <c r="D2340" s="178" t="s">
        <v>2191</v>
      </c>
      <c r="E2340" s="180">
        <v>89799</v>
      </c>
      <c r="F2340" s="192">
        <v>0</v>
      </c>
    </row>
    <row r="2341" spans="1:6" ht="24">
      <c r="A2341" s="190">
        <v>540806</v>
      </c>
      <c r="B2341" s="176" t="s">
        <v>2722</v>
      </c>
      <c r="C2341" s="200">
        <v>218050680</v>
      </c>
      <c r="D2341" s="178" t="s">
        <v>2192</v>
      </c>
      <c r="E2341" s="180">
        <v>68186</v>
      </c>
      <c r="F2341" s="192">
        <v>0</v>
      </c>
    </row>
    <row r="2342" spans="1:6" ht="24">
      <c r="A2342" s="190">
        <v>540806</v>
      </c>
      <c r="B2342" s="176" t="s">
        <v>2722</v>
      </c>
      <c r="C2342" s="200">
        <v>218350683</v>
      </c>
      <c r="D2342" s="178" t="s">
        <v>2193</v>
      </c>
      <c r="E2342" s="180">
        <v>61445</v>
      </c>
      <c r="F2342" s="192">
        <v>0</v>
      </c>
    </row>
    <row r="2343" spans="1:6" ht="24">
      <c r="A2343" s="190">
        <v>540806</v>
      </c>
      <c r="B2343" s="176" t="s">
        <v>2722</v>
      </c>
      <c r="C2343" s="200">
        <v>218650686</v>
      </c>
      <c r="D2343" s="178" t="s">
        <v>2194</v>
      </c>
      <c r="E2343" s="180">
        <v>11747</v>
      </c>
      <c r="F2343" s="192">
        <v>0</v>
      </c>
    </row>
    <row r="2344" spans="1:6" ht="24">
      <c r="A2344" s="190">
        <v>540806</v>
      </c>
      <c r="B2344" s="176" t="s">
        <v>2722</v>
      </c>
      <c r="C2344" s="200">
        <v>218950689</v>
      </c>
      <c r="D2344" s="178" t="s">
        <v>1750</v>
      </c>
      <c r="E2344" s="180">
        <v>154923</v>
      </c>
      <c r="F2344" s="192">
        <v>0</v>
      </c>
    </row>
    <row r="2345" spans="1:6" ht="24">
      <c r="A2345" s="190">
        <v>540806</v>
      </c>
      <c r="B2345" s="176" t="s">
        <v>2722</v>
      </c>
      <c r="C2345" s="200">
        <v>211150711</v>
      </c>
      <c r="D2345" s="178" t="s">
        <v>2195</v>
      </c>
      <c r="E2345" s="180">
        <v>205360</v>
      </c>
      <c r="F2345" s="192">
        <v>0</v>
      </c>
    </row>
    <row r="2346" spans="1:6" ht="24">
      <c r="A2346" s="190">
        <v>540806</v>
      </c>
      <c r="B2346" s="176" t="s">
        <v>2722</v>
      </c>
      <c r="C2346" s="200">
        <v>211952019</v>
      </c>
      <c r="D2346" s="178" t="s">
        <v>1798</v>
      </c>
      <c r="E2346" s="180">
        <v>87449</v>
      </c>
      <c r="F2346" s="192">
        <v>0</v>
      </c>
    </row>
    <row r="2347" spans="1:6" ht="24">
      <c r="A2347" s="190">
        <v>540806</v>
      </c>
      <c r="B2347" s="176" t="s">
        <v>2722</v>
      </c>
      <c r="C2347" s="200">
        <v>212252022</v>
      </c>
      <c r="D2347" s="178" t="s">
        <v>2196</v>
      </c>
      <c r="E2347" s="180">
        <v>49258</v>
      </c>
      <c r="F2347" s="192">
        <v>0</v>
      </c>
    </row>
    <row r="2348" spans="1:6" ht="24">
      <c r="A2348" s="190">
        <v>540806</v>
      </c>
      <c r="B2348" s="176" t="s">
        <v>2722</v>
      </c>
      <c r="C2348" s="200">
        <v>213652036</v>
      </c>
      <c r="D2348" s="178" t="s">
        <v>2197</v>
      </c>
      <c r="E2348" s="180">
        <v>69835</v>
      </c>
      <c r="F2348" s="192">
        <v>0</v>
      </c>
    </row>
    <row r="2349" spans="1:6" ht="24">
      <c r="A2349" s="190">
        <v>540806</v>
      </c>
      <c r="B2349" s="176" t="s">
        <v>2722</v>
      </c>
      <c r="C2349" s="200">
        <v>215152051</v>
      </c>
      <c r="D2349" s="178" t="s">
        <v>2198</v>
      </c>
      <c r="E2349" s="180">
        <v>65967</v>
      </c>
      <c r="F2349" s="192">
        <v>0</v>
      </c>
    </row>
    <row r="2350" spans="1:6" ht="24">
      <c r="A2350" s="190">
        <v>540806</v>
      </c>
      <c r="B2350" s="176" t="s">
        <v>2722</v>
      </c>
      <c r="C2350" s="200">
        <v>217952079</v>
      </c>
      <c r="D2350" s="178" t="s">
        <v>2199</v>
      </c>
      <c r="E2350" s="180">
        <v>490821</v>
      </c>
      <c r="F2350" s="192">
        <v>0</v>
      </c>
    </row>
    <row r="2351" spans="1:6" ht="24">
      <c r="A2351" s="190">
        <v>540806</v>
      </c>
      <c r="B2351" s="176" t="s">
        <v>2722</v>
      </c>
      <c r="C2351" s="200">
        <v>218352083</v>
      </c>
      <c r="D2351" s="178" t="s">
        <v>1437</v>
      </c>
      <c r="E2351" s="180">
        <v>57317</v>
      </c>
      <c r="F2351" s="192">
        <v>0</v>
      </c>
    </row>
    <row r="2352" spans="1:6" ht="24">
      <c r="A2352" s="190">
        <v>540806</v>
      </c>
      <c r="B2352" s="176" t="s">
        <v>2722</v>
      </c>
      <c r="C2352" s="200">
        <v>211052110</v>
      </c>
      <c r="D2352" s="178" t="s">
        <v>2200</v>
      </c>
      <c r="E2352" s="180">
        <v>159392</v>
      </c>
      <c r="F2352" s="192">
        <v>0</v>
      </c>
    </row>
    <row r="2353" spans="1:6" ht="24">
      <c r="A2353" s="190">
        <v>540806</v>
      </c>
      <c r="B2353" s="176" t="s">
        <v>2722</v>
      </c>
      <c r="C2353" s="200">
        <v>210352203</v>
      </c>
      <c r="D2353" s="178" t="s">
        <v>2201</v>
      </c>
      <c r="E2353" s="180">
        <v>76019</v>
      </c>
      <c r="F2353" s="192">
        <v>0</v>
      </c>
    </row>
    <row r="2354" spans="1:6" ht="24">
      <c r="A2354" s="190">
        <v>540806</v>
      </c>
      <c r="B2354" s="176" t="s">
        <v>2722</v>
      </c>
      <c r="C2354" s="200">
        <v>210752207</v>
      </c>
      <c r="D2354" s="178" t="s">
        <v>2202</v>
      </c>
      <c r="E2354" s="180">
        <v>68429</v>
      </c>
      <c r="F2354" s="192">
        <v>0</v>
      </c>
    </row>
    <row r="2355" spans="1:6" ht="24">
      <c r="A2355" s="190">
        <v>540806</v>
      </c>
      <c r="B2355" s="176" t="s">
        <v>2722</v>
      </c>
      <c r="C2355" s="200">
        <v>211052210</v>
      </c>
      <c r="D2355" s="178" t="s">
        <v>2203</v>
      </c>
      <c r="E2355" s="180">
        <v>45143</v>
      </c>
      <c r="F2355" s="192">
        <v>0</v>
      </c>
    </row>
    <row r="2356" spans="1:6" ht="24">
      <c r="A2356" s="190">
        <v>540806</v>
      </c>
      <c r="B2356" s="176" t="s">
        <v>2722</v>
      </c>
      <c r="C2356" s="200">
        <v>211552215</v>
      </c>
      <c r="D2356" s="178" t="s">
        <v>1001</v>
      </c>
      <c r="E2356" s="180">
        <v>128381</v>
      </c>
      <c r="F2356" s="192">
        <v>0</v>
      </c>
    </row>
    <row r="2357" spans="1:6" ht="24">
      <c r="A2357" s="190">
        <v>540806</v>
      </c>
      <c r="B2357" s="176" t="s">
        <v>2722</v>
      </c>
      <c r="C2357" s="200">
        <v>212452224</v>
      </c>
      <c r="D2357" s="178" t="s">
        <v>2204</v>
      </c>
      <c r="E2357" s="180">
        <v>56323</v>
      </c>
      <c r="F2357" s="192">
        <v>0</v>
      </c>
    </row>
    <row r="2358" spans="1:6" ht="24">
      <c r="A2358" s="190">
        <v>540806</v>
      </c>
      <c r="B2358" s="176" t="s">
        <v>2722</v>
      </c>
      <c r="C2358" s="200">
        <v>212752227</v>
      </c>
      <c r="D2358" s="178" t="s">
        <v>2205</v>
      </c>
      <c r="E2358" s="180">
        <v>289600</v>
      </c>
      <c r="F2358" s="192">
        <v>0</v>
      </c>
    </row>
    <row r="2359" spans="1:6" ht="24">
      <c r="A2359" s="190">
        <v>540806</v>
      </c>
      <c r="B2359" s="176" t="s">
        <v>2722</v>
      </c>
      <c r="C2359" s="200">
        <v>213352233</v>
      </c>
      <c r="D2359" s="178" t="s">
        <v>2206</v>
      </c>
      <c r="E2359" s="180">
        <v>69069</v>
      </c>
      <c r="F2359" s="192">
        <v>0</v>
      </c>
    </row>
    <row r="2360" spans="1:6" ht="24">
      <c r="A2360" s="190">
        <v>540806</v>
      </c>
      <c r="B2360" s="176" t="s">
        <v>2722</v>
      </c>
      <c r="C2360" s="200">
        <v>214052240</v>
      </c>
      <c r="D2360" s="178" t="s">
        <v>2207</v>
      </c>
      <c r="E2360" s="180">
        <v>82683</v>
      </c>
      <c r="F2360" s="192">
        <v>0</v>
      </c>
    </row>
    <row r="2361" spans="1:6" ht="24">
      <c r="A2361" s="190">
        <v>540806</v>
      </c>
      <c r="B2361" s="176" t="s">
        <v>2722</v>
      </c>
      <c r="C2361" s="200">
        <v>215052250</v>
      </c>
      <c r="D2361" s="178" t="s">
        <v>2208</v>
      </c>
      <c r="E2361" s="180">
        <v>345673</v>
      </c>
      <c r="F2361" s="192">
        <v>0</v>
      </c>
    </row>
    <row r="2362" spans="1:6" ht="24">
      <c r="A2362" s="190">
        <v>540806</v>
      </c>
      <c r="B2362" s="176" t="s">
        <v>2722</v>
      </c>
      <c r="C2362" s="200">
        <v>215452254</v>
      </c>
      <c r="D2362" s="178" t="s">
        <v>2209</v>
      </c>
      <c r="E2362" s="180">
        <v>51261</v>
      </c>
      <c r="F2362" s="192">
        <v>0</v>
      </c>
    </row>
    <row r="2363" spans="1:6" ht="24">
      <c r="A2363" s="190">
        <v>540806</v>
      </c>
      <c r="B2363" s="176" t="s">
        <v>2722</v>
      </c>
      <c r="C2363" s="200">
        <v>215652256</v>
      </c>
      <c r="D2363" s="178" t="s">
        <v>2210</v>
      </c>
      <c r="E2363" s="180">
        <v>99611</v>
      </c>
      <c r="F2363" s="192">
        <v>0</v>
      </c>
    </row>
    <row r="2364" spans="1:6" ht="24">
      <c r="A2364" s="190">
        <v>540806</v>
      </c>
      <c r="B2364" s="176" t="s">
        <v>2722</v>
      </c>
      <c r="C2364" s="200">
        <v>215852258</v>
      </c>
      <c r="D2364" s="178" t="s">
        <v>2211</v>
      </c>
      <c r="E2364" s="180">
        <v>129227</v>
      </c>
      <c r="F2364" s="192">
        <v>0</v>
      </c>
    </row>
    <row r="2365" spans="1:6" ht="24">
      <c r="A2365" s="190">
        <v>540806</v>
      </c>
      <c r="B2365" s="176" t="s">
        <v>2722</v>
      </c>
      <c r="C2365" s="200">
        <v>216052260</v>
      </c>
      <c r="D2365" s="178" t="s">
        <v>1680</v>
      </c>
      <c r="E2365" s="180">
        <v>119598</v>
      </c>
      <c r="F2365" s="192">
        <v>0</v>
      </c>
    </row>
    <row r="2366" spans="1:6" ht="24">
      <c r="A2366" s="190">
        <v>540806</v>
      </c>
      <c r="B2366" s="176" t="s">
        <v>2722</v>
      </c>
      <c r="C2366" s="200">
        <v>218752287</v>
      </c>
      <c r="D2366" s="178" t="s">
        <v>2212</v>
      </c>
      <c r="E2366" s="180">
        <v>39303</v>
      </c>
      <c r="F2366" s="192">
        <v>0</v>
      </c>
    </row>
    <row r="2367" spans="1:6" ht="24">
      <c r="A2367" s="190">
        <v>540806</v>
      </c>
      <c r="B2367" s="176" t="s">
        <v>2722</v>
      </c>
      <c r="C2367" s="200">
        <v>211752317</v>
      </c>
      <c r="D2367" s="178" t="s">
        <v>2213</v>
      </c>
      <c r="E2367" s="180">
        <v>149368</v>
      </c>
      <c r="F2367" s="192">
        <v>0</v>
      </c>
    </row>
    <row r="2368" spans="1:6" ht="24">
      <c r="A2368" s="190">
        <v>540806</v>
      </c>
      <c r="B2368" s="176" t="s">
        <v>2722</v>
      </c>
      <c r="C2368" s="200">
        <v>212052320</v>
      </c>
      <c r="D2368" s="178" t="s">
        <v>2214</v>
      </c>
      <c r="E2368" s="180">
        <v>113465</v>
      </c>
      <c r="F2368" s="192">
        <v>0</v>
      </c>
    </row>
    <row r="2369" spans="1:6" ht="24">
      <c r="A2369" s="190">
        <v>540806</v>
      </c>
      <c r="B2369" s="176" t="s">
        <v>2722</v>
      </c>
      <c r="C2369" s="200">
        <v>212352323</v>
      </c>
      <c r="D2369" s="178" t="s">
        <v>2215</v>
      </c>
      <c r="E2369" s="180">
        <v>46777</v>
      </c>
      <c r="F2369" s="192">
        <v>0</v>
      </c>
    </row>
    <row r="2370" spans="1:6" ht="24">
      <c r="A2370" s="190">
        <v>540806</v>
      </c>
      <c r="B2370" s="176" t="s">
        <v>2722</v>
      </c>
      <c r="C2370" s="200">
        <v>215252352</v>
      </c>
      <c r="D2370" s="178" t="s">
        <v>2216</v>
      </c>
      <c r="E2370" s="180">
        <v>55471</v>
      </c>
      <c r="F2370" s="192">
        <v>0</v>
      </c>
    </row>
    <row r="2371" spans="1:6" ht="24">
      <c r="A2371" s="190">
        <v>540806</v>
      </c>
      <c r="B2371" s="176" t="s">
        <v>2722</v>
      </c>
      <c r="C2371" s="200">
        <v>215452354</v>
      </c>
      <c r="D2371" s="178" t="s">
        <v>2217</v>
      </c>
      <c r="E2371" s="180">
        <v>65099</v>
      </c>
      <c r="F2371" s="192">
        <v>0</v>
      </c>
    </row>
    <row r="2372" spans="1:6" ht="24">
      <c r="A2372" s="190">
        <v>540806</v>
      </c>
      <c r="B2372" s="176" t="s">
        <v>2722</v>
      </c>
      <c r="C2372" s="200">
        <v>215652356</v>
      </c>
      <c r="D2372" s="178" t="s">
        <v>2218</v>
      </c>
      <c r="E2372" s="180">
        <v>680130</v>
      </c>
      <c r="F2372" s="192">
        <v>0</v>
      </c>
    </row>
    <row r="2373" spans="1:6" ht="24">
      <c r="A2373" s="190">
        <v>540806</v>
      </c>
      <c r="B2373" s="176" t="s">
        <v>2722</v>
      </c>
      <c r="C2373" s="200">
        <v>217852378</v>
      </c>
      <c r="D2373" s="178" t="s">
        <v>2219</v>
      </c>
      <c r="E2373" s="180">
        <v>140607</v>
      </c>
      <c r="F2373" s="192">
        <v>0</v>
      </c>
    </row>
    <row r="2374" spans="1:6" ht="24">
      <c r="A2374" s="190">
        <v>540806</v>
      </c>
      <c r="B2374" s="176" t="s">
        <v>2722</v>
      </c>
      <c r="C2374" s="200">
        <v>218152381</v>
      </c>
      <c r="D2374" s="178" t="s">
        <v>2220</v>
      </c>
      <c r="E2374" s="180">
        <v>97576</v>
      </c>
      <c r="F2374" s="192">
        <v>0</v>
      </c>
    </row>
    <row r="2375" spans="1:6" ht="24">
      <c r="A2375" s="190">
        <v>540806</v>
      </c>
      <c r="B2375" s="176" t="s">
        <v>2722</v>
      </c>
      <c r="C2375" s="200">
        <v>218552385</v>
      </c>
      <c r="D2375" s="178" t="s">
        <v>2221</v>
      </c>
      <c r="E2375" s="180">
        <v>45847</v>
      </c>
      <c r="F2375" s="192">
        <v>0</v>
      </c>
    </row>
    <row r="2376" spans="1:6" ht="24">
      <c r="A2376" s="190">
        <v>540806</v>
      </c>
      <c r="B2376" s="176" t="s">
        <v>2722</v>
      </c>
      <c r="C2376" s="200">
        <v>219052390</v>
      </c>
      <c r="D2376" s="178" t="s">
        <v>2222</v>
      </c>
      <c r="E2376" s="180">
        <v>137331</v>
      </c>
      <c r="F2376" s="192">
        <v>0</v>
      </c>
    </row>
    <row r="2377" spans="1:6" ht="24">
      <c r="A2377" s="190">
        <v>540806</v>
      </c>
      <c r="B2377" s="176" t="s">
        <v>2722</v>
      </c>
      <c r="C2377" s="200">
        <v>219952399</v>
      </c>
      <c r="D2377" s="178" t="s">
        <v>1202</v>
      </c>
      <c r="E2377" s="180">
        <v>179059</v>
      </c>
      <c r="F2377" s="192">
        <v>0</v>
      </c>
    </row>
    <row r="2378" spans="1:6" ht="24">
      <c r="A2378" s="190">
        <v>540806</v>
      </c>
      <c r="B2378" s="176" t="s">
        <v>2722</v>
      </c>
      <c r="C2378" s="200">
        <v>210552405</v>
      </c>
      <c r="D2378" s="178" t="s">
        <v>2223</v>
      </c>
      <c r="E2378" s="180">
        <v>83870</v>
      </c>
      <c r="F2378" s="192">
        <v>0</v>
      </c>
    </row>
    <row r="2379" spans="1:6" ht="24">
      <c r="A2379" s="190">
        <v>540806</v>
      </c>
      <c r="B2379" s="176" t="s">
        <v>2722</v>
      </c>
      <c r="C2379" s="200">
        <v>211152411</v>
      </c>
      <c r="D2379" s="178" t="s">
        <v>2224</v>
      </c>
      <c r="E2379" s="180">
        <v>92513</v>
      </c>
      <c r="F2379" s="192">
        <v>0</v>
      </c>
    </row>
    <row r="2380" spans="1:6" ht="24">
      <c r="A2380" s="190">
        <v>540806</v>
      </c>
      <c r="B2380" s="176" t="s">
        <v>2722</v>
      </c>
      <c r="C2380" s="200">
        <v>211852418</v>
      </c>
      <c r="D2380" s="178" t="s">
        <v>2225</v>
      </c>
      <c r="E2380" s="180">
        <v>97835</v>
      </c>
      <c r="F2380" s="192">
        <v>0</v>
      </c>
    </row>
    <row r="2381" spans="1:6" ht="24">
      <c r="A2381" s="190">
        <v>540806</v>
      </c>
      <c r="B2381" s="176" t="s">
        <v>2722</v>
      </c>
      <c r="C2381" s="200">
        <v>212752427</v>
      </c>
      <c r="D2381" s="178" t="s">
        <v>2226</v>
      </c>
      <c r="E2381" s="180">
        <v>179487</v>
      </c>
      <c r="F2381" s="192">
        <v>0</v>
      </c>
    </row>
    <row r="2382" spans="1:6" ht="24">
      <c r="A2382" s="190">
        <v>540806</v>
      </c>
      <c r="B2382" s="176" t="s">
        <v>2722</v>
      </c>
      <c r="C2382" s="200">
        <v>213552435</v>
      </c>
      <c r="D2382" s="178" t="s">
        <v>2227</v>
      </c>
      <c r="E2382" s="180">
        <v>53593</v>
      </c>
      <c r="F2382" s="192">
        <v>0</v>
      </c>
    </row>
    <row r="2383" spans="1:6" ht="24">
      <c r="A2383" s="190">
        <v>540806</v>
      </c>
      <c r="B2383" s="176" t="s">
        <v>2722</v>
      </c>
      <c r="C2383" s="200">
        <v>217352473</v>
      </c>
      <c r="D2383" s="178" t="s">
        <v>1899</v>
      </c>
      <c r="E2383" s="180">
        <v>127024</v>
      </c>
      <c r="F2383" s="192">
        <v>0</v>
      </c>
    </row>
    <row r="2384" spans="1:6" ht="24">
      <c r="A2384" s="190">
        <v>540806</v>
      </c>
      <c r="B2384" s="176" t="s">
        <v>2722</v>
      </c>
      <c r="C2384" s="200">
        <v>218052480</v>
      </c>
      <c r="D2384" s="178" t="s">
        <v>1006</v>
      </c>
      <c r="E2384" s="180">
        <v>20559</v>
      </c>
      <c r="F2384" s="192">
        <v>0</v>
      </c>
    </row>
    <row r="2385" spans="1:6" ht="24">
      <c r="A2385" s="190">
        <v>540806</v>
      </c>
      <c r="B2385" s="176" t="s">
        <v>2722</v>
      </c>
      <c r="C2385" s="200">
        <v>219052490</v>
      </c>
      <c r="D2385" s="178" t="s">
        <v>2228</v>
      </c>
      <c r="E2385" s="180">
        <v>241966</v>
      </c>
      <c r="F2385" s="192">
        <v>0</v>
      </c>
    </row>
    <row r="2386" spans="1:6" ht="24">
      <c r="A2386" s="190">
        <v>540806</v>
      </c>
      <c r="B2386" s="176" t="s">
        <v>2722</v>
      </c>
      <c r="C2386" s="200">
        <v>210652506</v>
      </c>
      <c r="D2386" s="178" t="s">
        <v>2229</v>
      </c>
      <c r="E2386" s="180">
        <v>43571</v>
      </c>
      <c r="F2386" s="192">
        <v>0</v>
      </c>
    </row>
    <row r="2387" spans="1:6" ht="24">
      <c r="A2387" s="190">
        <v>540806</v>
      </c>
      <c r="B2387" s="176" t="s">
        <v>2722</v>
      </c>
      <c r="C2387" s="200">
        <v>212052520</v>
      </c>
      <c r="D2387" s="178" t="s">
        <v>2230</v>
      </c>
      <c r="E2387" s="180">
        <v>90243</v>
      </c>
      <c r="F2387" s="192">
        <v>0</v>
      </c>
    </row>
    <row r="2388" spans="1:6" ht="24">
      <c r="A2388" s="190">
        <v>540806</v>
      </c>
      <c r="B2388" s="176" t="s">
        <v>2722</v>
      </c>
      <c r="C2388" s="200">
        <v>214052540</v>
      </c>
      <c r="D2388" s="178" t="s">
        <v>2231</v>
      </c>
      <c r="E2388" s="180">
        <v>103370</v>
      </c>
      <c r="F2388" s="192">
        <v>0</v>
      </c>
    </row>
    <row r="2389" spans="1:6" ht="24">
      <c r="A2389" s="190">
        <v>540806</v>
      </c>
      <c r="B2389" s="176" t="s">
        <v>2722</v>
      </c>
      <c r="C2389" s="200">
        <v>216052560</v>
      </c>
      <c r="D2389" s="178" t="s">
        <v>2232</v>
      </c>
      <c r="E2389" s="180">
        <v>79081</v>
      </c>
      <c r="F2389" s="192">
        <v>0</v>
      </c>
    </row>
    <row r="2390" spans="1:6" ht="24">
      <c r="A2390" s="190">
        <v>540806</v>
      </c>
      <c r="B2390" s="176" t="s">
        <v>2722</v>
      </c>
      <c r="C2390" s="200">
        <v>216552565</v>
      </c>
      <c r="D2390" s="178" t="s">
        <v>2233</v>
      </c>
      <c r="E2390" s="180">
        <v>38219</v>
      </c>
      <c r="F2390" s="192">
        <v>0</v>
      </c>
    </row>
    <row r="2391" spans="1:6" ht="24">
      <c r="A2391" s="190">
        <v>540806</v>
      </c>
      <c r="B2391" s="176" t="s">
        <v>2722</v>
      </c>
      <c r="C2391" s="200">
        <v>217352573</v>
      </c>
      <c r="D2391" s="178" t="s">
        <v>2234</v>
      </c>
      <c r="E2391" s="180">
        <v>68187</v>
      </c>
      <c r="F2391" s="192">
        <v>0</v>
      </c>
    </row>
    <row r="2392" spans="1:6" ht="24">
      <c r="A2392" s="190">
        <v>540806</v>
      </c>
      <c r="B2392" s="176" t="s">
        <v>2722</v>
      </c>
      <c r="C2392" s="200">
        <v>218552585</v>
      </c>
      <c r="D2392" s="178" t="s">
        <v>2235</v>
      </c>
      <c r="E2392" s="180">
        <v>114960</v>
      </c>
      <c r="F2392" s="192">
        <v>0</v>
      </c>
    </row>
    <row r="2393" spans="1:6" ht="24">
      <c r="A2393" s="190">
        <v>540806</v>
      </c>
      <c r="B2393" s="176" t="s">
        <v>2722</v>
      </c>
      <c r="C2393" s="200">
        <v>211252612</v>
      </c>
      <c r="D2393" s="178" t="s">
        <v>1931</v>
      </c>
      <c r="E2393" s="180">
        <v>160533</v>
      </c>
      <c r="F2393" s="192">
        <v>0</v>
      </c>
    </row>
    <row r="2394" spans="1:6" ht="24">
      <c r="A2394" s="190">
        <v>540806</v>
      </c>
      <c r="B2394" s="176" t="s">
        <v>2722</v>
      </c>
      <c r="C2394" s="200">
        <v>212152621</v>
      </c>
      <c r="D2394" s="178" t="s">
        <v>2236</v>
      </c>
      <c r="E2394" s="180">
        <v>249421</v>
      </c>
      <c r="F2394" s="192">
        <v>0</v>
      </c>
    </row>
    <row r="2395" spans="1:6" ht="24">
      <c r="A2395" s="190">
        <v>540806</v>
      </c>
      <c r="B2395" s="176" t="s">
        <v>2722</v>
      </c>
      <c r="C2395" s="200">
        <v>217852678</v>
      </c>
      <c r="D2395" s="178" t="s">
        <v>2237</v>
      </c>
      <c r="E2395" s="180">
        <v>266255</v>
      </c>
      <c r="F2395" s="192">
        <v>0</v>
      </c>
    </row>
    <row r="2396" spans="1:6" ht="24">
      <c r="A2396" s="190">
        <v>540806</v>
      </c>
      <c r="B2396" s="176" t="s">
        <v>2722</v>
      </c>
      <c r="C2396" s="200">
        <v>218352683</v>
      </c>
      <c r="D2396" s="178" t="s">
        <v>2238</v>
      </c>
      <c r="E2396" s="180">
        <v>139398</v>
      </c>
      <c r="F2396" s="192">
        <v>0</v>
      </c>
    </row>
    <row r="2397" spans="1:6" ht="24">
      <c r="A2397" s="190">
        <v>540806</v>
      </c>
      <c r="B2397" s="176" t="s">
        <v>2722</v>
      </c>
      <c r="C2397" s="200">
        <v>218552685</v>
      </c>
      <c r="D2397" s="178" t="s">
        <v>1935</v>
      </c>
      <c r="E2397" s="180">
        <v>58016</v>
      </c>
      <c r="F2397" s="192">
        <v>0</v>
      </c>
    </row>
    <row r="2398" spans="1:6" ht="24">
      <c r="A2398" s="190">
        <v>540806</v>
      </c>
      <c r="B2398" s="176" t="s">
        <v>2722</v>
      </c>
      <c r="C2398" s="200">
        <v>218752687</v>
      </c>
      <c r="D2398" s="178" t="s">
        <v>2239</v>
      </c>
      <c r="E2398" s="180">
        <v>130950</v>
      </c>
      <c r="F2398" s="192">
        <v>0</v>
      </c>
    </row>
    <row r="2399" spans="1:6" ht="24">
      <c r="A2399" s="190">
        <v>540806</v>
      </c>
      <c r="B2399" s="176" t="s">
        <v>2722</v>
      </c>
      <c r="C2399" s="200">
        <v>219352693</v>
      </c>
      <c r="D2399" s="178" t="s">
        <v>1409</v>
      </c>
      <c r="E2399" s="180">
        <v>116221</v>
      </c>
      <c r="F2399" s="192">
        <v>0</v>
      </c>
    </row>
    <row r="2400" spans="1:6" ht="24">
      <c r="A2400" s="190">
        <v>540806</v>
      </c>
      <c r="B2400" s="176" t="s">
        <v>2722</v>
      </c>
      <c r="C2400" s="200">
        <v>219452694</v>
      </c>
      <c r="D2400" s="178" t="s">
        <v>2240</v>
      </c>
      <c r="E2400" s="180">
        <v>47032</v>
      </c>
      <c r="F2400" s="192">
        <v>0</v>
      </c>
    </row>
    <row r="2401" spans="1:6" ht="24">
      <c r="A2401" s="190">
        <v>540806</v>
      </c>
      <c r="B2401" s="176" t="s">
        <v>2722</v>
      </c>
      <c r="C2401" s="200">
        <v>219652696</v>
      </c>
      <c r="D2401" s="178" t="s">
        <v>1269</v>
      </c>
      <c r="E2401" s="180">
        <v>149798</v>
      </c>
      <c r="F2401" s="192">
        <v>0</v>
      </c>
    </row>
    <row r="2402" spans="1:6" ht="24">
      <c r="A2402" s="190">
        <v>540806</v>
      </c>
      <c r="B2402" s="176" t="s">
        <v>2722</v>
      </c>
      <c r="C2402" s="200">
        <v>219952699</v>
      </c>
      <c r="D2402" s="178" t="s">
        <v>2241</v>
      </c>
      <c r="E2402" s="180">
        <v>82123</v>
      </c>
      <c r="F2402" s="192">
        <v>0</v>
      </c>
    </row>
    <row r="2403" spans="1:6" ht="24">
      <c r="A2403" s="190">
        <v>540806</v>
      </c>
      <c r="B2403" s="176" t="s">
        <v>2722</v>
      </c>
      <c r="C2403" s="200">
        <v>212052720</v>
      </c>
      <c r="D2403" s="178" t="s">
        <v>2242</v>
      </c>
      <c r="E2403" s="180">
        <v>43739</v>
      </c>
      <c r="F2403" s="192">
        <v>0</v>
      </c>
    </row>
    <row r="2404" spans="1:6" ht="24">
      <c r="A2404" s="190">
        <v>540806</v>
      </c>
      <c r="B2404" s="176" t="s">
        <v>2722</v>
      </c>
      <c r="C2404" s="200">
        <v>218652786</v>
      </c>
      <c r="D2404" s="178" t="s">
        <v>2243</v>
      </c>
      <c r="E2404" s="180">
        <v>129473</v>
      </c>
      <c r="F2404" s="192">
        <v>0</v>
      </c>
    </row>
    <row r="2405" spans="1:6" ht="24">
      <c r="A2405" s="190">
        <v>540806</v>
      </c>
      <c r="B2405" s="176" t="s">
        <v>2722</v>
      </c>
      <c r="C2405" s="200">
        <v>218852788</v>
      </c>
      <c r="D2405" s="178" t="s">
        <v>2244</v>
      </c>
      <c r="E2405" s="180">
        <v>68761</v>
      </c>
      <c r="F2405" s="192">
        <v>0</v>
      </c>
    </row>
    <row r="2406" spans="1:6" ht="24">
      <c r="A2406" s="190">
        <v>540806</v>
      </c>
      <c r="B2406" s="176" t="s">
        <v>2722</v>
      </c>
      <c r="C2406" s="200">
        <v>213852838</v>
      </c>
      <c r="D2406" s="178" t="s">
        <v>2245</v>
      </c>
      <c r="E2406" s="180">
        <v>318047</v>
      </c>
      <c r="F2406" s="192">
        <v>0</v>
      </c>
    </row>
    <row r="2407" spans="1:6" ht="24">
      <c r="A2407" s="190">
        <v>540806</v>
      </c>
      <c r="B2407" s="176" t="s">
        <v>2722</v>
      </c>
      <c r="C2407" s="200">
        <v>218552885</v>
      </c>
      <c r="D2407" s="178" t="s">
        <v>2246</v>
      </c>
      <c r="E2407" s="180">
        <v>65310</v>
      </c>
      <c r="F2407" s="192">
        <v>0</v>
      </c>
    </row>
    <row r="2408" spans="1:6" ht="24">
      <c r="A2408" s="190">
        <v>540806</v>
      </c>
      <c r="B2408" s="176" t="s">
        <v>2722</v>
      </c>
      <c r="C2408" s="200">
        <v>210354003</v>
      </c>
      <c r="D2408" s="178" t="s">
        <v>2247</v>
      </c>
      <c r="E2408" s="180">
        <v>288734</v>
      </c>
      <c r="F2408" s="192">
        <v>0</v>
      </c>
    </row>
    <row r="2409" spans="1:6" ht="24">
      <c r="A2409" s="190">
        <v>540806</v>
      </c>
      <c r="B2409" s="176" t="s">
        <v>2722</v>
      </c>
      <c r="C2409" s="200">
        <v>215154051</v>
      </c>
      <c r="D2409" s="178" t="s">
        <v>2248</v>
      </c>
      <c r="E2409" s="180">
        <v>76081</v>
      </c>
      <c r="F2409" s="192">
        <v>0</v>
      </c>
    </row>
    <row r="2410" spans="1:6" ht="24">
      <c r="A2410" s="190">
        <v>540806</v>
      </c>
      <c r="B2410" s="176" t="s">
        <v>2722</v>
      </c>
      <c r="C2410" s="200">
        <v>219954099</v>
      </c>
      <c r="D2410" s="178" t="s">
        <v>2249</v>
      </c>
      <c r="E2410" s="180">
        <v>57404</v>
      </c>
      <c r="F2410" s="192">
        <v>0</v>
      </c>
    </row>
    <row r="2411" spans="1:6" ht="24">
      <c r="A2411" s="190">
        <v>540806</v>
      </c>
      <c r="B2411" s="176" t="s">
        <v>2722</v>
      </c>
      <c r="C2411" s="200">
        <v>210954109</v>
      </c>
      <c r="D2411" s="178" t="s">
        <v>2250</v>
      </c>
      <c r="E2411" s="180">
        <v>56575</v>
      </c>
      <c r="F2411" s="192">
        <v>0</v>
      </c>
    </row>
    <row r="2412" spans="1:6" ht="24">
      <c r="A2412" s="190">
        <v>540806</v>
      </c>
      <c r="B2412" s="176" t="s">
        <v>2722</v>
      </c>
      <c r="C2412" s="200">
        <v>212554125</v>
      </c>
      <c r="D2412" s="178" t="s">
        <v>2251</v>
      </c>
      <c r="E2412" s="180">
        <v>19559</v>
      </c>
      <c r="F2412" s="192">
        <v>0</v>
      </c>
    </row>
    <row r="2413" spans="1:6" ht="24">
      <c r="A2413" s="190">
        <v>540806</v>
      </c>
      <c r="B2413" s="176" t="s">
        <v>2722</v>
      </c>
      <c r="C2413" s="200">
        <v>212854128</v>
      </c>
      <c r="D2413" s="178" t="s">
        <v>2252</v>
      </c>
      <c r="E2413" s="180">
        <v>89540</v>
      </c>
      <c r="F2413" s="192">
        <v>0</v>
      </c>
    </row>
    <row r="2414" spans="1:6" ht="24">
      <c r="A2414" s="190">
        <v>540806</v>
      </c>
      <c r="B2414" s="176" t="s">
        <v>2722</v>
      </c>
      <c r="C2414" s="200">
        <v>217254172</v>
      </c>
      <c r="D2414" s="178" t="s">
        <v>2253</v>
      </c>
      <c r="E2414" s="180">
        <v>99335</v>
      </c>
      <c r="F2414" s="192">
        <v>0</v>
      </c>
    </row>
    <row r="2415" spans="1:6" ht="24">
      <c r="A2415" s="190">
        <v>540806</v>
      </c>
      <c r="B2415" s="176" t="s">
        <v>2722</v>
      </c>
      <c r="C2415" s="200">
        <v>217454174</v>
      </c>
      <c r="D2415" s="178" t="s">
        <v>2254</v>
      </c>
      <c r="E2415" s="180">
        <v>71357</v>
      </c>
      <c r="F2415" s="192">
        <v>0</v>
      </c>
    </row>
    <row r="2416" spans="1:6" ht="24">
      <c r="A2416" s="190">
        <v>540806</v>
      </c>
      <c r="B2416" s="176" t="s">
        <v>2722</v>
      </c>
      <c r="C2416" s="200">
        <v>210654206</v>
      </c>
      <c r="D2416" s="178" t="s">
        <v>2255</v>
      </c>
      <c r="E2416" s="180">
        <v>148110</v>
      </c>
      <c r="F2416" s="192">
        <v>0</v>
      </c>
    </row>
    <row r="2417" spans="1:6" ht="24">
      <c r="A2417" s="190">
        <v>540806</v>
      </c>
      <c r="B2417" s="176" t="s">
        <v>2722</v>
      </c>
      <c r="C2417" s="200">
        <v>212354223</v>
      </c>
      <c r="D2417" s="178" t="s">
        <v>2256</v>
      </c>
      <c r="E2417" s="180">
        <v>72820</v>
      </c>
      <c r="F2417" s="192">
        <v>0</v>
      </c>
    </row>
    <row r="2418" spans="1:6" ht="24">
      <c r="A2418" s="190">
        <v>540806</v>
      </c>
      <c r="B2418" s="176" t="s">
        <v>2722</v>
      </c>
      <c r="C2418" s="200">
        <v>213954239</v>
      </c>
      <c r="D2418" s="178" t="s">
        <v>2257</v>
      </c>
      <c r="E2418" s="180">
        <v>31761</v>
      </c>
      <c r="F2418" s="192">
        <v>0</v>
      </c>
    </row>
    <row r="2419" spans="1:6" ht="24">
      <c r="A2419" s="190">
        <v>540806</v>
      </c>
      <c r="B2419" s="176" t="s">
        <v>2722</v>
      </c>
      <c r="C2419" s="200">
        <v>214554245</v>
      </c>
      <c r="D2419" s="178" t="s">
        <v>2031</v>
      </c>
      <c r="E2419" s="180">
        <v>122621</v>
      </c>
      <c r="F2419" s="192">
        <v>0</v>
      </c>
    </row>
    <row r="2420" spans="1:6" ht="24">
      <c r="A2420" s="190">
        <v>540806</v>
      </c>
      <c r="B2420" s="176" t="s">
        <v>2722</v>
      </c>
      <c r="C2420" s="200">
        <v>215054250</v>
      </c>
      <c r="D2420" s="178" t="s">
        <v>2258</v>
      </c>
      <c r="E2420" s="180">
        <v>109595</v>
      </c>
      <c r="F2420" s="192">
        <v>0</v>
      </c>
    </row>
    <row r="2421" spans="1:6" ht="24">
      <c r="A2421" s="190">
        <v>540806</v>
      </c>
      <c r="B2421" s="176" t="s">
        <v>2722</v>
      </c>
      <c r="C2421" s="200">
        <v>216154261</v>
      </c>
      <c r="D2421" s="178" t="s">
        <v>2259</v>
      </c>
      <c r="E2421" s="180">
        <v>157007</v>
      </c>
      <c r="F2421" s="192">
        <v>0</v>
      </c>
    </row>
    <row r="2422" spans="1:6" ht="24">
      <c r="A2422" s="190">
        <v>540806</v>
      </c>
      <c r="B2422" s="176" t="s">
        <v>2722</v>
      </c>
      <c r="C2422" s="200">
        <v>211354313</v>
      </c>
      <c r="D2422" s="178" t="s">
        <v>2260</v>
      </c>
      <c r="E2422" s="180">
        <v>54166</v>
      </c>
      <c r="F2422" s="192">
        <v>0</v>
      </c>
    </row>
    <row r="2423" spans="1:6" ht="24">
      <c r="A2423" s="190">
        <v>540806</v>
      </c>
      <c r="B2423" s="176" t="s">
        <v>2722</v>
      </c>
      <c r="C2423" s="200">
        <v>214454344</v>
      </c>
      <c r="D2423" s="178" t="s">
        <v>2261</v>
      </c>
      <c r="E2423" s="180">
        <v>113791</v>
      </c>
      <c r="F2423" s="192">
        <v>0</v>
      </c>
    </row>
    <row r="2424" spans="1:6" ht="24">
      <c r="A2424" s="190">
        <v>540806</v>
      </c>
      <c r="B2424" s="176" t="s">
        <v>2722</v>
      </c>
      <c r="C2424" s="200">
        <v>214754347</v>
      </c>
      <c r="D2424" s="178" t="s">
        <v>2262</v>
      </c>
      <c r="E2424" s="180">
        <v>17773</v>
      </c>
      <c r="F2424" s="192">
        <v>0</v>
      </c>
    </row>
    <row r="2425" spans="1:6" ht="24">
      <c r="A2425" s="190">
        <v>540806</v>
      </c>
      <c r="B2425" s="176" t="s">
        <v>2722</v>
      </c>
      <c r="C2425" s="200">
        <v>217754377</v>
      </c>
      <c r="D2425" s="178" t="s">
        <v>2263</v>
      </c>
      <c r="E2425" s="180">
        <v>43813</v>
      </c>
      <c r="F2425" s="192">
        <v>0</v>
      </c>
    </row>
    <row r="2426" spans="1:6" ht="24">
      <c r="A2426" s="190">
        <v>540806</v>
      </c>
      <c r="B2426" s="176" t="s">
        <v>2722</v>
      </c>
      <c r="C2426" s="200">
        <v>218554385</v>
      </c>
      <c r="D2426" s="178" t="s">
        <v>2264</v>
      </c>
      <c r="E2426" s="180">
        <v>99791</v>
      </c>
      <c r="F2426" s="192">
        <v>0</v>
      </c>
    </row>
    <row r="2427" spans="1:6" ht="24">
      <c r="A2427" s="190">
        <v>540806</v>
      </c>
      <c r="B2427" s="176" t="s">
        <v>2722</v>
      </c>
      <c r="C2427" s="200">
        <v>219854398</v>
      </c>
      <c r="D2427" s="178" t="s">
        <v>2265</v>
      </c>
      <c r="E2427" s="180">
        <v>68735</v>
      </c>
      <c r="F2427" s="192">
        <v>0</v>
      </c>
    </row>
    <row r="2428" spans="1:6" ht="24">
      <c r="A2428" s="190">
        <v>540806</v>
      </c>
      <c r="B2428" s="176" t="s">
        <v>2722</v>
      </c>
      <c r="C2428" s="200">
        <v>210554405</v>
      </c>
      <c r="D2428" s="178" t="s">
        <v>2266</v>
      </c>
      <c r="E2428" s="180">
        <v>343048</v>
      </c>
      <c r="F2428" s="192">
        <v>0</v>
      </c>
    </row>
    <row r="2429" spans="1:6" ht="24">
      <c r="A2429" s="190">
        <v>540806</v>
      </c>
      <c r="B2429" s="176" t="s">
        <v>2722</v>
      </c>
      <c r="C2429" s="200">
        <v>211854418</v>
      </c>
      <c r="D2429" s="178" t="s">
        <v>2267</v>
      </c>
      <c r="E2429" s="180">
        <v>25313</v>
      </c>
      <c r="F2429" s="192">
        <v>0</v>
      </c>
    </row>
    <row r="2430" spans="1:6" ht="24">
      <c r="A2430" s="190">
        <v>540806</v>
      </c>
      <c r="B2430" s="176" t="s">
        <v>2722</v>
      </c>
      <c r="C2430" s="200">
        <v>218054480</v>
      </c>
      <c r="D2430" s="178" t="s">
        <v>2268</v>
      </c>
      <c r="E2430" s="180">
        <v>27795</v>
      </c>
      <c r="F2430" s="192">
        <v>0</v>
      </c>
    </row>
    <row r="2431" spans="1:6" ht="24">
      <c r="A2431" s="190">
        <v>540806</v>
      </c>
      <c r="B2431" s="176" t="s">
        <v>2722</v>
      </c>
      <c r="C2431" s="200">
        <v>219854498</v>
      </c>
      <c r="D2431" s="178" t="s">
        <v>2269</v>
      </c>
      <c r="E2431" s="180">
        <v>665388</v>
      </c>
      <c r="F2431" s="192">
        <v>0</v>
      </c>
    </row>
    <row r="2432" spans="1:6" ht="24">
      <c r="A2432" s="190">
        <v>540806</v>
      </c>
      <c r="B2432" s="176" t="s">
        <v>2722</v>
      </c>
      <c r="C2432" s="200">
        <v>211854518</v>
      </c>
      <c r="D2432" s="178" t="s">
        <v>2270</v>
      </c>
      <c r="E2432" s="180">
        <v>325069</v>
      </c>
      <c r="F2432" s="192">
        <v>0</v>
      </c>
    </row>
    <row r="2433" spans="1:6" ht="24">
      <c r="A2433" s="190">
        <v>540806</v>
      </c>
      <c r="B2433" s="176" t="s">
        <v>2722</v>
      </c>
      <c r="C2433" s="200">
        <v>212054520</v>
      </c>
      <c r="D2433" s="178" t="s">
        <v>2271</v>
      </c>
      <c r="E2433" s="180">
        <v>32276</v>
      </c>
      <c r="F2433" s="192">
        <v>0</v>
      </c>
    </row>
    <row r="2434" spans="1:6" ht="24">
      <c r="A2434" s="190">
        <v>540806</v>
      </c>
      <c r="B2434" s="176" t="s">
        <v>2722</v>
      </c>
      <c r="C2434" s="200">
        <v>215354553</v>
      </c>
      <c r="D2434" s="178" t="s">
        <v>2272</v>
      </c>
      <c r="E2434" s="180">
        <v>43117</v>
      </c>
      <c r="F2434" s="192">
        <v>0</v>
      </c>
    </row>
    <row r="2435" spans="1:6" ht="24">
      <c r="A2435" s="190">
        <v>540806</v>
      </c>
      <c r="B2435" s="176" t="s">
        <v>2722</v>
      </c>
      <c r="C2435" s="200">
        <v>219954599</v>
      </c>
      <c r="D2435" s="178" t="s">
        <v>2273</v>
      </c>
      <c r="E2435" s="180">
        <v>32276</v>
      </c>
      <c r="F2435" s="192">
        <v>0</v>
      </c>
    </row>
    <row r="2436" spans="1:6" ht="24">
      <c r="A2436" s="190">
        <v>540806</v>
      </c>
      <c r="B2436" s="176" t="s">
        <v>2722</v>
      </c>
      <c r="C2436" s="200">
        <v>216054660</v>
      </c>
      <c r="D2436" s="178" t="s">
        <v>2274</v>
      </c>
      <c r="E2436" s="180">
        <v>78634</v>
      </c>
      <c r="F2436" s="192">
        <v>0</v>
      </c>
    </row>
    <row r="2437" spans="1:6" ht="24">
      <c r="A2437" s="190">
        <v>540806</v>
      </c>
      <c r="B2437" s="176" t="s">
        <v>2722</v>
      </c>
      <c r="C2437" s="200">
        <v>217054670</v>
      </c>
      <c r="D2437" s="178" t="s">
        <v>2275</v>
      </c>
      <c r="E2437" s="180">
        <v>127921</v>
      </c>
      <c r="F2437" s="192">
        <v>0</v>
      </c>
    </row>
    <row r="2438" spans="1:6" ht="24">
      <c r="A2438" s="190">
        <v>540806</v>
      </c>
      <c r="B2438" s="176" t="s">
        <v>2722</v>
      </c>
      <c r="C2438" s="200">
        <v>217354673</v>
      </c>
      <c r="D2438" s="178" t="s">
        <v>1937</v>
      </c>
      <c r="E2438" s="180">
        <v>31308</v>
      </c>
      <c r="F2438" s="192">
        <v>0</v>
      </c>
    </row>
    <row r="2439" spans="1:6" ht="24">
      <c r="A2439" s="190">
        <v>540806</v>
      </c>
      <c r="B2439" s="176" t="s">
        <v>2722</v>
      </c>
      <c r="C2439" s="174">
        <v>218054680</v>
      </c>
      <c r="D2439" s="178" t="s">
        <v>2276</v>
      </c>
      <c r="E2439" s="180">
        <v>25371</v>
      </c>
      <c r="F2439" s="192">
        <v>0</v>
      </c>
    </row>
    <row r="2440" spans="1:6" ht="24">
      <c r="A2440" s="190">
        <v>540806</v>
      </c>
      <c r="B2440" s="176" t="s">
        <v>2722</v>
      </c>
      <c r="C2440" s="174">
        <v>212054720</v>
      </c>
      <c r="D2440" s="178" t="s">
        <v>2277</v>
      </c>
      <c r="E2440" s="180">
        <v>215037</v>
      </c>
      <c r="F2440" s="192">
        <v>0</v>
      </c>
    </row>
    <row r="2441" spans="1:6" ht="24">
      <c r="A2441" s="190">
        <v>540806</v>
      </c>
      <c r="B2441" s="176" t="s">
        <v>2722</v>
      </c>
      <c r="C2441" s="174">
        <v>214354743</v>
      </c>
      <c r="D2441" s="178" t="s">
        <v>2278</v>
      </c>
      <c r="E2441" s="180">
        <v>42548</v>
      </c>
      <c r="F2441" s="192">
        <v>0</v>
      </c>
    </row>
    <row r="2442" spans="1:6" ht="24">
      <c r="A2442" s="190">
        <v>540806</v>
      </c>
      <c r="B2442" s="176" t="s">
        <v>2722</v>
      </c>
      <c r="C2442" s="174">
        <v>210054800</v>
      </c>
      <c r="D2442" s="178" t="s">
        <v>2279</v>
      </c>
      <c r="E2442" s="180">
        <v>147238</v>
      </c>
      <c r="F2442" s="192">
        <v>0</v>
      </c>
    </row>
    <row r="2443" spans="1:6" ht="24">
      <c r="A2443" s="190">
        <v>540806</v>
      </c>
      <c r="B2443" s="176" t="s">
        <v>2722</v>
      </c>
      <c r="C2443" s="174">
        <v>211054810</v>
      </c>
      <c r="D2443" s="178" t="s">
        <v>2280</v>
      </c>
      <c r="E2443" s="180">
        <v>319327</v>
      </c>
      <c r="F2443" s="192">
        <v>0</v>
      </c>
    </row>
    <row r="2444" spans="1:6" ht="24">
      <c r="A2444" s="190">
        <v>540806</v>
      </c>
      <c r="B2444" s="176" t="s">
        <v>2722</v>
      </c>
      <c r="C2444" s="174">
        <v>212054820</v>
      </c>
      <c r="D2444" s="178" t="s">
        <v>1290</v>
      </c>
      <c r="E2444" s="180">
        <v>126653</v>
      </c>
      <c r="F2444" s="192">
        <v>0</v>
      </c>
    </row>
    <row r="2445" spans="1:6" ht="24">
      <c r="A2445" s="190">
        <v>540806</v>
      </c>
      <c r="B2445" s="176" t="s">
        <v>2722</v>
      </c>
      <c r="C2445" s="200">
        <v>217154871</v>
      </c>
      <c r="D2445" s="178" t="s">
        <v>2281</v>
      </c>
      <c r="E2445" s="180">
        <v>41331</v>
      </c>
      <c r="F2445" s="192">
        <v>0</v>
      </c>
    </row>
    <row r="2446" spans="1:6" ht="24">
      <c r="A2446" s="190">
        <v>540806</v>
      </c>
      <c r="B2446" s="176" t="s">
        <v>2722</v>
      </c>
      <c r="C2446" s="174">
        <v>217454874</v>
      </c>
      <c r="D2446" s="178" t="s">
        <v>2282</v>
      </c>
      <c r="E2446" s="180">
        <v>430868</v>
      </c>
      <c r="F2446" s="192">
        <v>0</v>
      </c>
    </row>
    <row r="2447" spans="1:6" ht="24">
      <c r="A2447" s="190">
        <v>540806</v>
      </c>
      <c r="B2447" s="176" t="s">
        <v>2722</v>
      </c>
      <c r="C2447" s="174">
        <v>211163111</v>
      </c>
      <c r="D2447" s="178" t="s">
        <v>1448</v>
      </c>
      <c r="E2447" s="180">
        <v>25976</v>
      </c>
      <c r="F2447" s="192">
        <v>0</v>
      </c>
    </row>
    <row r="2448" spans="1:6" ht="24">
      <c r="A2448" s="190">
        <v>540806</v>
      </c>
      <c r="B2448" s="176" t="s">
        <v>2722</v>
      </c>
      <c r="C2448" s="200">
        <v>213063130</v>
      </c>
      <c r="D2448" s="178" t="s">
        <v>2283</v>
      </c>
      <c r="E2448" s="180">
        <v>524875</v>
      </c>
      <c r="F2448" s="192">
        <v>0</v>
      </c>
    </row>
    <row r="2449" spans="1:6" ht="24">
      <c r="A2449" s="190">
        <v>540806</v>
      </c>
      <c r="B2449" s="176" t="s">
        <v>2722</v>
      </c>
      <c r="C2449" s="174">
        <v>219063190</v>
      </c>
      <c r="D2449" s="178" t="s">
        <v>2284</v>
      </c>
      <c r="E2449" s="180">
        <v>188796</v>
      </c>
      <c r="F2449" s="192">
        <v>0</v>
      </c>
    </row>
    <row r="2450" spans="1:6" ht="24">
      <c r="A2450" s="190">
        <v>540806</v>
      </c>
      <c r="B2450" s="176" t="s">
        <v>2722</v>
      </c>
      <c r="C2450" s="174">
        <v>211263212</v>
      </c>
      <c r="D2450" s="178" t="s">
        <v>1001</v>
      </c>
      <c r="E2450" s="180">
        <v>43143</v>
      </c>
      <c r="F2450" s="192">
        <v>0</v>
      </c>
    </row>
    <row r="2451" spans="1:6" ht="24">
      <c r="A2451" s="190">
        <v>540806</v>
      </c>
      <c r="B2451" s="176" t="s">
        <v>2722</v>
      </c>
      <c r="C2451" s="174">
        <v>217263272</v>
      </c>
      <c r="D2451" s="178" t="s">
        <v>2285</v>
      </c>
      <c r="E2451" s="180">
        <v>96518</v>
      </c>
      <c r="F2451" s="192">
        <v>0</v>
      </c>
    </row>
    <row r="2452" spans="1:6" ht="24">
      <c r="A2452" s="190">
        <v>540806</v>
      </c>
      <c r="B2452" s="176" t="s">
        <v>2722</v>
      </c>
      <c r="C2452" s="174">
        <v>210263302</v>
      </c>
      <c r="D2452" s="178" t="s">
        <v>2286</v>
      </c>
      <c r="E2452" s="180">
        <v>63791</v>
      </c>
      <c r="F2452" s="192">
        <v>0</v>
      </c>
    </row>
    <row r="2453" spans="1:6" ht="24">
      <c r="A2453" s="190">
        <v>540806</v>
      </c>
      <c r="B2453" s="176" t="s">
        <v>2722</v>
      </c>
      <c r="C2453" s="174">
        <v>210163401</v>
      </c>
      <c r="D2453" s="178" t="s">
        <v>2287</v>
      </c>
      <c r="E2453" s="180">
        <v>261317</v>
      </c>
      <c r="F2453" s="192">
        <v>0</v>
      </c>
    </row>
    <row r="2454" spans="1:6" ht="24">
      <c r="A2454" s="190">
        <v>540806</v>
      </c>
      <c r="B2454" s="176" t="s">
        <v>2722</v>
      </c>
      <c r="C2454" s="174">
        <v>217063470</v>
      </c>
      <c r="D2454" s="178" t="s">
        <v>2288</v>
      </c>
      <c r="E2454" s="180">
        <v>301428</v>
      </c>
      <c r="F2454" s="192">
        <v>0</v>
      </c>
    </row>
    <row r="2455" spans="1:6" ht="24">
      <c r="A2455" s="190">
        <v>540806</v>
      </c>
      <c r="B2455" s="176" t="s">
        <v>2722</v>
      </c>
      <c r="C2455" s="174">
        <v>214863548</v>
      </c>
      <c r="D2455" s="178" t="s">
        <v>2289</v>
      </c>
      <c r="E2455" s="180">
        <v>84923</v>
      </c>
      <c r="F2455" s="192">
        <v>0</v>
      </c>
    </row>
    <row r="2456" spans="1:6" ht="24">
      <c r="A2456" s="190">
        <v>540806</v>
      </c>
      <c r="B2456" s="176" t="s">
        <v>2722</v>
      </c>
      <c r="C2456" s="174">
        <v>219463594</v>
      </c>
      <c r="D2456" s="178" t="s">
        <v>2290</v>
      </c>
      <c r="E2456" s="180">
        <v>250989</v>
      </c>
      <c r="F2456" s="192">
        <v>0</v>
      </c>
    </row>
    <row r="2457" spans="1:6" ht="24">
      <c r="A2457" s="190">
        <v>540806</v>
      </c>
      <c r="B2457" s="176" t="s">
        <v>2722</v>
      </c>
      <c r="C2457" s="174">
        <v>219063690</v>
      </c>
      <c r="D2457" s="178" t="s">
        <v>2291</v>
      </c>
      <c r="E2457" s="180">
        <v>55859</v>
      </c>
      <c r="F2457" s="192">
        <v>0</v>
      </c>
    </row>
    <row r="2458" spans="1:6" ht="24">
      <c r="A2458" s="190">
        <v>540806</v>
      </c>
      <c r="B2458" s="176" t="s">
        <v>2722</v>
      </c>
      <c r="C2458" s="174">
        <v>214566045</v>
      </c>
      <c r="D2458" s="178" t="s">
        <v>2292</v>
      </c>
      <c r="E2458" s="180">
        <v>85013</v>
      </c>
      <c r="F2458" s="192">
        <v>0</v>
      </c>
    </row>
    <row r="2459" spans="1:6" ht="24">
      <c r="A2459" s="190">
        <v>540806</v>
      </c>
      <c r="B2459" s="176" t="s">
        <v>2722</v>
      </c>
      <c r="C2459" s="174">
        <v>217566075</v>
      </c>
      <c r="D2459" s="178" t="s">
        <v>1671</v>
      </c>
      <c r="E2459" s="180">
        <v>48593</v>
      </c>
      <c r="F2459" s="192">
        <v>0</v>
      </c>
    </row>
    <row r="2460" spans="1:6" ht="24">
      <c r="A2460" s="190">
        <v>540806</v>
      </c>
      <c r="B2460" s="176" t="s">
        <v>2722</v>
      </c>
      <c r="C2460" s="200">
        <v>218866088</v>
      </c>
      <c r="D2460" s="178" t="s">
        <v>2293</v>
      </c>
      <c r="E2460" s="180">
        <v>196795</v>
      </c>
      <c r="F2460" s="192">
        <v>0</v>
      </c>
    </row>
    <row r="2461" spans="1:6" ht="24">
      <c r="A2461" s="190">
        <v>540806</v>
      </c>
      <c r="B2461" s="176" t="s">
        <v>2722</v>
      </c>
      <c r="C2461" s="174">
        <v>211866318</v>
      </c>
      <c r="D2461" s="178" t="s">
        <v>2294</v>
      </c>
      <c r="E2461" s="180">
        <v>96398</v>
      </c>
      <c r="F2461" s="192">
        <v>0</v>
      </c>
    </row>
    <row r="2462" spans="1:6" ht="24">
      <c r="A2462" s="190">
        <v>540806</v>
      </c>
      <c r="B2462" s="176" t="s">
        <v>2722</v>
      </c>
      <c r="C2462" s="200">
        <v>218366383</v>
      </c>
      <c r="D2462" s="178" t="s">
        <v>2295</v>
      </c>
      <c r="E2462" s="180">
        <v>60160</v>
      </c>
      <c r="F2462" s="192">
        <v>0</v>
      </c>
    </row>
    <row r="2463" spans="1:6" ht="24">
      <c r="A2463" s="190">
        <v>540806</v>
      </c>
      <c r="B2463" s="176" t="s">
        <v>2722</v>
      </c>
      <c r="C2463" s="174">
        <v>210066400</v>
      </c>
      <c r="D2463" s="178" t="s">
        <v>2296</v>
      </c>
      <c r="E2463" s="180">
        <v>235213</v>
      </c>
      <c r="F2463" s="192">
        <v>0</v>
      </c>
    </row>
    <row r="2464" spans="1:6" ht="24">
      <c r="A2464" s="190">
        <v>540806</v>
      </c>
      <c r="B2464" s="176" t="s">
        <v>2722</v>
      </c>
      <c r="C2464" s="174">
        <v>214066440</v>
      </c>
      <c r="D2464" s="178" t="s">
        <v>2297</v>
      </c>
      <c r="E2464" s="180">
        <v>144144</v>
      </c>
      <c r="F2464" s="192">
        <v>0</v>
      </c>
    </row>
    <row r="2465" spans="1:6" ht="24">
      <c r="A2465" s="190">
        <v>540806</v>
      </c>
      <c r="B2465" s="176" t="s">
        <v>2722</v>
      </c>
      <c r="C2465" s="174">
        <v>215666456</v>
      </c>
      <c r="D2465" s="178" t="s">
        <v>2298</v>
      </c>
      <c r="E2465" s="180">
        <v>128493</v>
      </c>
      <c r="F2465" s="192">
        <v>0</v>
      </c>
    </row>
    <row r="2466" spans="1:6" ht="24">
      <c r="A2466" s="190">
        <v>540806</v>
      </c>
      <c r="B2466" s="176" t="s">
        <v>2722</v>
      </c>
      <c r="C2466" s="174">
        <v>217266572</v>
      </c>
      <c r="D2466" s="178" t="s">
        <v>2299</v>
      </c>
      <c r="E2466" s="180">
        <v>127656</v>
      </c>
      <c r="F2466" s="192">
        <v>0</v>
      </c>
    </row>
    <row r="2467" spans="1:6" ht="24">
      <c r="A2467" s="190">
        <v>540806</v>
      </c>
      <c r="B2467" s="176" t="s">
        <v>2722</v>
      </c>
      <c r="C2467" s="200">
        <v>219466594</v>
      </c>
      <c r="D2467" s="178" t="s">
        <v>2300</v>
      </c>
      <c r="E2467" s="180">
        <v>222332</v>
      </c>
      <c r="F2467" s="192">
        <v>0</v>
      </c>
    </row>
    <row r="2468" spans="1:6" ht="24">
      <c r="A2468" s="190">
        <v>540806</v>
      </c>
      <c r="B2468" s="176" t="s">
        <v>2722</v>
      </c>
      <c r="C2468" s="200">
        <v>218266682</v>
      </c>
      <c r="D2468" s="178" t="s">
        <v>2301</v>
      </c>
      <c r="E2468" s="180">
        <v>473104</v>
      </c>
      <c r="F2468" s="192">
        <v>0</v>
      </c>
    </row>
    <row r="2469" spans="1:6" ht="24">
      <c r="A2469" s="190">
        <v>540806</v>
      </c>
      <c r="B2469" s="176" t="s">
        <v>2722</v>
      </c>
      <c r="C2469" s="174">
        <v>218766687</v>
      </c>
      <c r="D2469" s="178" t="s">
        <v>2302</v>
      </c>
      <c r="E2469" s="180">
        <v>104391</v>
      </c>
      <c r="F2469" s="192">
        <v>0</v>
      </c>
    </row>
    <row r="2470" spans="1:6" ht="24">
      <c r="A2470" s="190">
        <v>540806</v>
      </c>
      <c r="B2470" s="176" t="s">
        <v>2722</v>
      </c>
      <c r="C2470" s="174" t="s">
        <v>2303</v>
      </c>
      <c r="D2470" s="178" t="s">
        <v>2304</v>
      </c>
      <c r="E2470" s="180">
        <v>14202</v>
      </c>
      <c r="F2470" s="192">
        <v>0</v>
      </c>
    </row>
    <row r="2471" spans="1:6" ht="24">
      <c r="A2471" s="190">
        <v>540806</v>
      </c>
      <c r="B2471" s="176" t="s">
        <v>2722</v>
      </c>
      <c r="C2471" s="174" t="s">
        <v>2305</v>
      </c>
      <c r="D2471" s="178" t="s">
        <v>1646</v>
      </c>
      <c r="E2471" s="180">
        <v>33970</v>
      </c>
      <c r="F2471" s="192">
        <v>0</v>
      </c>
    </row>
    <row r="2472" spans="1:6" ht="24">
      <c r="A2472" s="190">
        <v>540806</v>
      </c>
      <c r="B2472" s="176" t="s">
        <v>2722</v>
      </c>
      <c r="C2472" s="174" t="s">
        <v>2306</v>
      </c>
      <c r="D2472" s="178" t="s">
        <v>2307</v>
      </c>
      <c r="E2472" s="180">
        <v>59549</v>
      </c>
      <c r="F2472" s="192">
        <v>0</v>
      </c>
    </row>
    <row r="2473" spans="1:6" ht="24">
      <c r="A2473" s="190">
        <v>540806</v>
      </c>
      <c r="B2473" s="176" t="s">
        <v>2722</v>
      </c>
      <c r="C2473" s="174" t="s">
        <v>2308</v>
      </c>
      <c r="D2473" s="178" t="s">
        <v>1117</v>
      </c>
      <c r="E2473" s="180">
        <v>151347</v>
      </c>
      <c r="F2473" s="192">
        <v>0</v>
      </c>
    </row>
    <row r="2474" spans="1:6" ht="24">
      <c r="A2474" s="190">
        <v>540806</v>
      </c>
      <c r="B2474" s="176" t="s">
        <v>2722</v>
      </c>
      <c r="C2474" s="174" t="s">
        <v>2309</v>
      </c>
      <c r="D2474" s="178" t="s">
        <v>2310</v>
      </c>
      <c r="E2474" s="180">
        <v>45589</v>
      </c>
      <c r="F2474" s="192">
        <v>0</v>
      </c>
    </row>
    <row r="2475" spans="1:6" ht="24">
      <c r="A2475" s="190">
        <v>540806</v>
      </c>
      <c r="B2475" s="176" t="s">
        <v>2722</v>
      </c>
      <c r="C2475" s="174" t="s">
        <v>2311</v>
      </c>
      <c r="D2475" s="178" t="s">
        <v>1123</v>
      </c>
      <c r="E2475" s="180">
        <v>36999</v>
      </c>
      <c r="F2475" s="192">
        <v>0</v>
      </c>
    </row>
    <row r="2476" spans="1:6" ht="24">
      <c r="A2476" s="190">
        <v>540806</v>
      </c>
      <c r="B2476" s="176" t="s">
        <v>2722</v>
      </c>
      <c r="C2476" s="174">
        <v>210168101</v>
      </c>
      <c r="D2476" s="178" t="s">
        <v>994</v>
      </c>
      <c r="E2476" s="180">
        <v>81999</v>
      </c>
      <c r="F2476" s="192">
        <v>0</v>
      </c>
    </row>
    <row r="2477" spans="1:6" ht="24">
      <c r="A2477" s="190">
        <v>540806</v>
      </c>
      <c r="B2477" s="176" t="s">
        <v>2722</v>
      </c>
      <c r="C2477" s="174" t="s">
        <v>2312</v>
      </c>
      <c r="D2477" s="178" t="s">
        <v>1812</v>
      </c>
      <c r="E2477" s="180">
        <v>10817</v>
      </c>
      <c r="F2477" s="192">
        <v>0</v>
      </c>
    </row>
    <row r="2478" spans="1:6" ht="24">
      <c r="A2478" s="190">
        <v>540806</v>
      </c>
      <c r="B2478" s="176" t="s">
        <v>2722</v>
      </c>
      <c r="C2478" s="174" t="s">
        <v>2313</v>
      </c>
      <c r="D2478" s="178" t="s">
        <v>2314</v>
      </c>
      <c r="E2478" s="180">
        <v>9597</v>
      </c>
      <c r="F2478" s="192">
        <v>0</v>
      </c>
    </row>
    <row r="2479" spans="1:6" ht="24">
      <c r="A2479" s="190">
        <v>540806</v>
      </c>
      <c r="B2479" s="176" t="s">
        <v>2722</v>
      </c>
      <c r="C2479" s="174" t="s">
        <v>2315</v>
      </c>
      <c r="D2479" s="178" t="s">
        <v>2316</v>
      </c>
      <c r="E2479" s="180">
        <v>44095</v>
      </c>
      <c r="F2479" s="192">
        <v>0</v>
      </c>
    </row>
    <row r="2480" spans="1:6" ht="24">
      <c r="A2480" s="190">
        <v>540806</v>
      </c>
      <c r="B2480" s="176" t="s">
        <v>2722</v>
      </c>
      <c r="C2480" s="174">
        <v>215268152</v>
      </c>
      <c r="D2480" s="178" t="s">
        <v>2317</v>
      </c>
      <c r="E2480" s="180">
        <v>28254</v>
      </c>
      <c r="F2480" s="192">
        <v>0</v>
      </c>
    </row>
    <row r="2481" spans="1:6" ht="24">
      <c r="A2481" s="190">
        <v>540806</v>
      </c>
      <c r="B2481" s="176" t="s">
        <v>2722</v>
      </c>
      <c r="C2481" s="174">
        <v>216068160</v>
      </c>
      <c r="D2481" s="178" t="s">
        <v>2318</v>
      </c>
      <c r="E2481" s="180">
        <v>13560</v>
      </c>
      <c r="F2481" s="192">
        <v>0</v>
      </c>
    </row>
    <row r="2482" spans="1:6" ht="24">
      <c r="A2482" s="190">
        <v>540806</v>
      </c>
      <c r="B2482" s="176" t="s">
        <v>2722</v>
      </c>
      <c r="C2482" s="174">
        <v>216268162</v>
      </c>
      <c r="D2482" s="178" t="s">
        <v>2319</v>
      </c>
      <c r="E2482" s="180">
        <v>42559</v>
      </c>
      <c r="F2482" s="192">
        <v>0</v>
      </c>
    </row>
    <row r="2483" spans="1:6" ht="24">
      <c r="A2483" s="190">
        <v>540806</v>
      </c>
      <c r="B2483" s="176" t="s">
        <v>2722</v>
      </c>
      <c r="C2483" s="174" t="s">
        <v>2320</v>
      </c>
      <c r="D2483" s="178" t="s">
        <v>2321</v>
      </c>
      <c r="E2483" s="180">
        <v>99154</v>
      </c>
      <c r="F2483" s="192">
        <v>0</v>
      </c>
    </row>
    <row r="2484" spans="1:6" ht="24">
      <c r="A2484" s="190">
        <v>540806</v>
      </c>
      <c r="B2484" s="176" t="s">
        <v>2722</v>
      </c>
      <c r="C2484" s="174" t="s">
        <v>2322</v>
      </c>
      <c r="D2484" s="178" t="s">
        <v>2323</v>
      </c>
      <c r="E2484" s="180">
        <v>14358</v>
      </c>
      <c r="F2484" s="192">
        <v>0</v>
      </c>
    </row>
    <row r="2485" spans="1:6" ht="24">
      <c r="A2485" s="190">
        <v>540806</v>
      </c>
      <c r="B2485" s="176" t="s">
        <v>2722</v>
      </c>
      <c r="C2485" s="174" t="s">
        <v>2324</v>
      </c>
      <c r="D2485" s="178" t="s">
        <v>1760</v>
      </c>
      <c r="E2485" s="180">
        <v>20962</v>
      </c>
      <c r="F2485" s="192">
        <v>0</v>
      </c>
    </row>
    <row r="2486" spans="1:6" ht="24">
      <c r="A2486" s="190">
        <v>540806</v>
      </c>
      <c r="B2486" s="176" t="s">
        <v>2722</v>
      </c>
      <c r="C2486" s="174" t="s">
        <v>2325</v>
      </c>
      <c r="D2486" s="178" t="s">
        <v>2326</v>
      </c>
      <c r="E2486" s="180">
        <v>28756</v>
      </c>
      <c r="F2486" s="192">
        <v>0</v>
      </c>
    </row>
    <row r="2487" spans="1:6" ht="24">
      <c r="A2487" s="190">
        <v>540806</v>
      </c>
      <c r="B2487" s="176" t="s">
        <v>2722</v>
      </c>
      <c r="C2487" s="174" t="s">
        <v>2327</v>
      </c>
      <c r="D2487" s="178" t="s">
        <v>2328</v>
      </c>
      <c r="E2487" s="180">
        <v>230442</v>
      </c>
      <c r="F2487" s="192">
        <v>0</v>
      </c>
    </row>
    <row r="2488" spans="1:6" ht="24">
      <c r="A2488" s="190">
        <v>540806</v>
      </c>
      <c r="B2488" s="176" t="s">
        <v>2722</v>
      </c>
      <c r="C2488" s="174" t="s">
        <v>2329</v>
      </c>
      <c r="D2488" s="178" t="s">
        <v>1155</v>
      </c>
      <c r="E2488" s="180">
        <v>34386</v>
      </c>
      <c r="F2488" s="192">
        <v>0</v>
      </c>
    </row>
    <row r="2489" spans="1:6" ht="24">
      <c r="A2489" s="190">
        <v>540806</v>
      </c>
      <c r="B2489" s="176" t="s">
        <v>2722</v>
      </c>
      <c r="C2489" s="174" t="s">
        <v>2330</v>
      </c>
      <c r="D2489" s="178" t="s">
        <v>2331</v>
      </c>
      <c r="E2489" s="180">
        <v>14255</v>
      </c>
      <c r="F2489" s="192">
        <v>0</v>
      </c>
    </row>
    <row r="2490" spans="1:6" ht="24">
      <c r="A2490" s="190">
        <v>540806</v>
      </c>
      <c r="B2490" s="176" t="s">
        <v>2722</v>
      </c>
      <c r="C2490" s="174" t="s">
        <v>2332</v>
      </c>
      <c r="D2490" s="178" t="s">
        <v>2333</v>
      </c>
      <c r="E2490" s="180">
        <v>30730</v>
      </c>
      <c r="F2490" s="192">
        <v>0</v>
      </c>
    </row>
    <row r="2491" spans="1:6" ht="24">
      <c r="A2491" s="190">
        <v>540806</v>
      </c>
      <c r="B2491" s="176" t="s">
        <v>2722</v>
      </c>
      <c r="C2491" s="174" t="s">
        <v>2334</v>
      </c>
      <c r="D2491" s="178" t="s">
        <v>2335</v>
      </c>
      <c r="E2491" s="180">
        <v>39604</v>
      </c>
      <c r="F2491" s="192">
        <v>0</v>
      </c>
    </row>
    <row r="2492" spans="1:6" ht="24">
      <c r="A2492" s="190">
        <v>540806</v>
      </c>
      <c r="B2492" s="176" t="s">
        <v>2722</v>
      </c>
      <c r="C2492" s="174">
        <v>212968229</v>
      </c>
      <c r="D2492" s="178" t="s">
        <v>2336</v>
      </c>
      <c r="E2492" s="180">
        <v>69033</v>
      </c>
      <c r="F2492" s="192">
        <v>0</v>
      </c>
    </row>
    <row r="2493" spans="1:6" ht="24">
      <c r="A2493" s="190">
        <v>540806</v>
      </c>
      <c r="B2493" s="176" t="s">
        <v>2722</v>
      </c>
      <c r="C2493" s="174" t="s">
        <v>2337</v>
      </c>
      <c r="D2493" s="178" t="s">
        <v>2031</v>
      </c>
      <c r="E2493" s="180">
        <v>124577</v>
      </c>
      <c r="F2493" s="192">
        <v>0</v>
      </c>
    </row>
    <row r="2494" spans="1:6" ht="24">
      <c r="A2494" s="190">
        <v>540806</v>
      </c>
      <c r="B2494" s="176" t="s">
        <v>2722</v>
      </c>
      <c r="C2494" s="174" t="s">
        <v>2338</v>
      </c>
      <c r="D2494" s="178" t="s">
        <v>2339</v>
      </c>
      <c r="E2494" s="180">
        <v>16020</v>
      </c>
      <c r="F2494" s="192">
        <v>0</v>
      </c>
    </row>
    <row r="2495" spans="1:6" ht="24">
      <c r="A2495" s="190">
        <v>540806</v>
      </c>
      <c r="B2495" s="176" t="s">
        <v>2722</v>
      </c>
      <c r="C2495" s="174" t="s">
        <v>2340</v>
      </c>
      <c r="D2495" s="178" t="s">
        <v>2341</v>
      </c>
      <c r="E2495" s="180">
        <v>40993</v>
      </c>
      <c r="F2495" s="192">
        <v>0</v>
      </c>
    </row>
    <row r="2496" spans="1:6" ht="24">
      <c r="A2496" s="190">
        <v>540806</v>
      </c>
      <c r="B2496" s="176" t="s">
        <v>2722</v>
      </c>
      <c r="C2496" s="174" t="s">
        <v>2342</v>
      </c>
      <c r="D2496" s="178" t="s">
        <v>2343</v>
      </c>
      <c r="E2496" s="180">
        <v>93265</v>
      </c>
      <c r="F2496" s="192">
        <v>0</v>
      </c>
    </row>
    <row r="2497" spans="1:6" ht="24">
      <c r="A2497" s="190">
        <v>540806</v>
      </c>
      <c r="B2497" s="176" t="s">
        <v>2722</v>
      </c>
      <c r="C2497" s="174" t="s">
        <v>2344</v>
      </c>
      <c r="D2497" s="178" t="s">
        <v>2345</v>
      </c>
      <c r="E2497" s="180">
        <v>19686</v>
      </c>
      <c r="F2497" s="192">
        <v>0</v>
      </c>
    </row>
    <row r="2498" spans="1:6" ht="24">
      <c r="A2498" s="190">
        <v>540806</v>
      </c>
      <c r="B2498" s="176" t="s">
        <v>2722</v>
      </c>
      <c r="C2498" s="174" t="s">
        <v>2346</v>
      </c>
      <c r="D2498" s="178" t="s">
        <v>2347</v>
      </c>
      <c r="E2498" s="180">
        <v>27466</v>
      </c>
      <c r="F2498" s="192">
        <v>0</v>
      </c>
    </row>
    <row r="2499" spans="1:6" ht="24">
      <c r="A2499" s="190">
        <v>540806</v>
      </c>
      <c r="B2499" s="176" t="s">
        <v>2722</v>
      </c>
      <c r="C2499" s="174" t="s">
        <v>2348</v>
      </c>
      <c r="D2499" s="178" t="s">
        <v>2349</v>
      </c>
      <c r="E2499" s="180">
        <v>53303</v>
      </c>
      <c r="F2499" s="192">
        <v>0</v>
      </c>
    </row>
    <row r="2500" spans="1:6" ht="24">
      <c r="A2500" s="190">
        <v>540806</v>
      </c>
      <c r="B2500" s="176" t="s">
        <v>2722</v>
      </c>
      <c r="C2500" s="174" t="s">
        <v>2350</v>
      </c>
      <c r="D2500" s="178" t="s">
        <v>2351</v>
      </c>
      <c r="E2500" s="180">
        <v>19245</v>
      </c>
      <c r="F2500" s="192">
        <v>0</v>
      </c>
    </row>
    <row r="2501" spans="1:6" ht="24">
      <c r="A2501" s="190">
        <v>540806</v>
      </c>
      <c r="B2501" s="176" t="s">
        <v>2722</v>
      </c>
      <c r="C2501" s="174" t="s">
        <v>2352</v>
      </c>
      <c r="D2501" s="178" t="s">
        <v>2353</v>
      </c>
      <c r="E2501" s="180">
        <v>30458</v>
      </c>
      <c r="F2501" s="192">
        <v>0</v>
      </c>
    </row>
    <row r="2502" spans="1:6" ht="24">
      <c r="A2502" s="190">
        <v>540806</v>
      </c>
      <c r="B2502" s="176" t="s">
        <v>2722</v>
      </c>
      <c r="C2502" s="174" t="s">
        <v>2354</v>
      </c>
      <c r="D2502" s="178" t="s">
        <v>2355</v>
      </c>
      <c r="E2502" s="180">
        <v>41304</v>
      </c>
      <c r="F2502" s="192">
        <v>0</v>
      </c>
    </row>
    <row r="2503" spans="1:6" ht="24">
      <c r="A2503" s="190">
        <v>540806</v>
      </c>
      <c r="B2503" s="176" t="s">
        <v>2722</v>
      </c>
      <c r="C2503" s="174" t="s">
        <v>2356</v>
      </c>
      <c r="D2503" s="178" t="s">
        <v>1181</v>
      </c>
      <c r="E2503" s="180">
        <v>43235</v>
      </c>
      <c r="F2503" s="192">
        <v>0</v>
      </c>
    </row>
    <row r="2504" spans="1:6" ht="24">
      <c r="A2504" s="190">
        <v>540806</v>
      </c>
      <c r="B2504" s="176" t="s">
        <v>2722</v>
      </c>
      <c r="C2504" s="174">
        <v>212268322</v>
      </c>
      <c r="D2504" s="178" t="s">
        <v>2357</v>
      </c>
      <c r="E2504" s="180">
        <v>17469</v>
      </c>
      <c r="F2504" s="192">
        <v>0</v>
      </c>
    </row>
    <row r="2505" spans="1:6" ht="24">
      <c r="A2505" s="190">
        <v>540806</v>
      </c>
      <c r="B2505" s="176" t="s">
        <v>2722</v>
      </c>
      <c r="C2505" s="174" t="s">
        <v>2358</v>
      </c>
      <c r="D2505" s="178" t="s">
        <v>2359</v>
      </c>
      <c r="E2505" s="180">
        <v>26673</v>
      </c>
      <c r="F2505" s="192">
        <v>0</v>
      </c>
    </row>
    <row r="2506" spans="1:6" ht="24">
      <c r="A2506" s="190">
        <v>540806</v>
      </c>
      <c r="B2506" s="176" t="s">
        <v>2722</v>
      </c>
      <c r="C2506" s="174">
        <v>212768327</v>
      </c>
      <c r="D2506" s="178" t="s">
        <v>2360</v>
      </c>
      <c r="E2506" s="180">
        <v>32064</v>
      </c>
      <c r="F2506" s="192">
        <v>0</v>
      </c>
    </row>
    <row r="2507" spans="1:6" ht="24">
      <c r="A2507" s="190">
        <v>540806</v>
      </c>
      <c r="B2507" s="176" t="s">
        <v>2722</v>
      </c>
      <c r="C2507" s="200" t="s">
        <v>2361</v>
      </c>
      <c r="D2507" s="178" t="s">
        <v>2362</v>
      </c>
      <c r="E2507" s="180">
        <v>9825</v>
      </c>
      <c r="F2507" s="192">
        <v>0</v>
      </c>
    </row>
    <row r="2508" spans="1:6" ht="24">
      <c r="A2508" s="190">
        <v>540806</v>
      </c>
      <c r="B2508" s="176" t="s">
        <v>2722</v>
      </c>
      <c r="C2508" s="200" t="s">
        <v>2363</v>
      </c>
      <c r="D2508" s="178" t="s">
        <v>2364</v>
      </c>
      <c r="E2508" s="180">
        <v>29823</v>
      </c>
      <c r="F2508" s="192">
        <v>0</v>
      </c>
    </row>
    <row r="2509" spans="1:6" ht="24">
      <c r="A2509" s="190">
        <v>540806</v>
      </c>
      <c r="B2509" s="176" t="s">
        <v>2722</v>
      </c>
      <c r="C2509" s="200" t="s">
        <v>2365</v>
      </c>
      <c r="D2509" s="178" t="s">
        <v>2366</v>
      </c>
      <c r="E2509" s="180">
        <v>9391</v>
      </c>
      <c r="F2509" s="192">
        <v>0</v>
      </c>
    </row>
    <row r="2510" spans="1:6" ht="24">
      <c r="A2510" s="190">
        <v>540806</v>
      </c>
      <c r="B2510" s="176" t="s">
        <v>2722</v>
      </c>
      <c r="C2510" s="200" t="s">
        <v>2367</v>
      </c>
      <c r="D2510" s="178" t="s">
        <v>2368</v>
      </c>
      <c r="E2510" s="180">
        <v>51442</v>
      </c>
      <c r="F2510" s="192">
        <v>0</v>
      </c>
    </row>
    <row r="2511" spans="1:6" ht="24">
      <c r="A2511" s="190">
        <v>540806</v>
      </c>
      <c r="B2511" s="176" t="s">
        <v>2722</v>
      </c>
      <c r="C2511" s="202">
        <v>218568385</v>
      </c>
      <c r="D2511" s="178" t="s">
        <v>2369</v>
      </c>
      <c r="E2511" s="180">
        <v>90559</v>
      </c>
      <c r="F2511" s="192">
        <v>0</v>
      </c>
    </row>
    <row r="2512" spans="1:6" ht="24">
      <c r="A2512" s="190">
        <v>540806</v>
      </c>
      <c r="B2512" s="176" t="s">
        <v>2722</v>
      </c>
      <c r="C2512" s="200">
        <v>219768397</v>
      </c>
      <c r="D2512" s="178" t="s">
        <v>1744</v>
      </c>
      <c r="E2512" s="180">
        <v>31610</v>
      </c>
      <c r="F2512" s="192">
        <v>0</v>
      </c>
    </row>
    <row r="2513" spans="1:6" ht="24">
      <c r="A2513" s="190">
        <v>540806</v>
      </c>
      <c r="B2513" s="176" t="s">
        <v>2722</v>
      </c>
      <c r="C2513" s="200" t="s">
        <v>2370</v>
      </c>
      <c r="D2513" s="178" t="s">
        <v>2371</v>
      </c>
      <c r="E2513" s="180">
        <v>199189</v>
      </c>
      <c r="F2513" s="192">
        <v>0</v>
      </c>
    </row>
    <row r="2514" spans="1:6" ht="24">
      <c r="A2514" s="190">
        <v>540806</v>
      </c>
      <c r="B2514" s="176" t="s">
        <v>2722</v>
      </c>
      <c r="C2514" s="200" t="s">
        <v>2372</v>
      </c>
      <c r="D2514" s="178" t="s">
        <v>2373</v>
      </c>
      <c r="E2514" s="180">
        <v>68249</v>
      </c>
      <c r="F2514" s="192">
        <v>0</v>
      </c>
    </row>
    <row r="2515" spans="1:6" ht="24">
      <c r="A2515" s="190">
        <v>540806</v>
      </c>
      <c r="B2515" s="176" t="s">
        <v>2722</v>
      </c>
      <c r="C2515" s="200" t="s">
        <v>2374</v>
      </c>
      <c r="D2515" s="178" t="s">
        <v>2375</v>
      </c>
      <c r="E2515" s="180">
        <v>19062</v>
      </c>
      <c r="F2515" s="192">
        <v>0</v>
      </c>
    </row>
    <row r="2516" spans="1:6" ht="24">
      <c r="A2516" s="190">
        <v>540806</v>
      </c>
      <c r="B2516" s="176" t="s">
        <v>2722</v>
      </c>
      <c r="C2516" s="200" t="s">
        <v>2376</v>
      </c>
      <c r="D2516" s="178" t="s">
        <v>2377</v>
      </c>
      <c r="E2516" s="180">
        <v>163727</v>
      </c>
      <c r="F2516" s="192">
        <v>0</v>
      </c>
    </row>
    <row r="2517" spans="1:6" ht="24">
      <c r="A2517" s="190">
        <v>540806</v>
      </c>
      <c r="B2517" s="176" t="s">
        <v>2722</v>
      </c>
      <c r="C2517" s="200" t="s">
        <v>2378</v>
      </c>
      <c r="D2517" s="178" t="s">
        <v>2379</v>
      </c>
      <c r="E2517" s="180">
        <v>41573</v>
      </c>
      <c r="F2517" s="192">
        <v>0</v>
      </c>
    </row>
    <row r="2518" spans="1:6" ht="24">
      <c r="A2518" s="190">
        <v>540806</v>
      </c>
      <c r="B2518" s="176" t="s">
        <v>2722</v>
      </c>
      <c r="C2518" s="200" t="s">
        <v>2380</v>
      </c>
      <c r="D2518" s="178" t="s">
        <v>2381</v>
      </c>
      <c r="E2518" s="180">
        <v>79026</v>
      </c>
      <c r="F2518" s="192">
        <v>0</v>
      </c>
    </row>
    <row r="2519" spans="1:6" ht="24">
      <c r="A2519" s="190">
        <v>540806</v>
      </c>
      <c r="B2519" s="176" t="s">
        <v>2722</v>
      </c>
      <c r="C2519" s="200" t="s">
        <v>2382</v>
      </c>
      <c r="D2519" s="178" t="s">
        <v>2383</v>
      </c>
      <c r="E2519" s="180">
        <v>27971</v>
      </c>
      <c r="F2519" s="192">
        <v>0</v>
      </c>
    </row>
    <row r="2520" spans="1:6" ht="24">
      <c r="A2520" s="190">
        <v>540806</v>
      </c>
      <c r="B2520" s="176" t="s">
        <v>2722</v>
      </c>
      <c r="C2520" s="200" t="s">
        <v>2384</v>
      </c>
      <c r="D2520" s="178" t="s">
        <v>2385</v>
      </c>
      <c r="E2520" s="180">
        <v>30883</v>
      </c>
      <c r="F2520" s="192">
        <v>0</v>
      </c>
    </row>
    <row r="2521" spans="1:6" ht="24">
      <c r="A2521" s="190">
        <v>540806</v>
      </c>
      <c r="B2521" s="176" t="s">
        <v>2722</v>
      </c>
      <c r="C2521" s="200" t="s">
        <v>2386</v>
      </c>
      <c r="D2521" s="178" t="s">
        <v>2387</v>
      </c>
      <c r="E2521" s="180">
        <v>85441</v>
      </c>
      <c r="F2521" s="192">
        <v>0</v>
      </c>
    </row>
    <row r="2522" spans="1:6" ht="24">
      <c r="A2522" s="190">
        <v>540806</v>
      </c>
      <c r="B2522" s="176" t="s">
        <v>2722</v>
      </c>
      <c r="C2522" s="200" t="s">
        <v>2388</v>
      </c>
      <c r="D2522" s="178" t="s">
        <v>2389</v>
      </c>
      <c r="E2522" s="180">
        <v>34529</v>
      </c>
      <c r="F2522" s="192">
        <v>0</v>
      </c>
    </row>
    <row r="2523" spans="1:6" ht="24">
      <c r="A2523" s="190">
        <v>540806</v>
      </c>
      <c r="B2523" s="176" t="s">
        <v>2722</v>
      </c>
      <c r="C2523" s="200" t="s">
        <v>2390</v>
      </c>
      <c r="D2523" s="178" t="s">
        <v>2391</v>
      </c>
      <c r="E2523" s="180">
        <v>12349</v>
      </c>
      <c r="F2523" s="192">
        <v>0</v>
      </c>
    </row>
    <row r="2524" spans="1:6" ht="24">
      <c r="A2524" s="190">
        <v>540806</v>
      </c>
      <c r="B2524" s="176" t="s">
        <v>2722</v>
      </c>
      <c r="C2524" s="200" t="s">
        <v>2392</v>
      </c>
      <c r="D2524" s="178" t="s">
        <v>2393</v>
      </c>
      <c r="E2524" s="180">
        <v>16045</v>
      </c>
      <c r="F2524" s="192">
        <v>0</v>
      </c>
    </row>
    <row r="2525" spans="1:6" ht="24">
      <c r="A2525" s="190">
        <v>540806</v>
      </c>
      <c r="B2525" s="176" t="s">
        <v>2722</v>
      </c>
      <c r="C2525" s="200" t="s">
        <v>2394</v>
      </c>
      <c r="D2525" s="178" t="s">
        <v>2395</v>
      </c>
      <c r="E2525" s="180">
        <v>22421</v>
      </c>
      <c r="F2525" s="192">
        <v>0</v>
      </c>
    </row>
    <row r="2526" spans="1:6" ht="24">
      <c r="A2526" s="190">
        <v>540806</v>
      </c>
      <c r="B2526" s="176" t="s">
        <v>2722</v>
      </c>
      <c r="C2526" s="200" t="s">
        <v>2396</v>
      </c>
      <c r="D2526" s="178" t="s">
        <v>2397</v>
      </c>
      <c r="E2526" s="180">
        <v>726348</v>
      </c>
      <c r="F2526" s="192">
        <v>0</v>
      </c>
    </row>
    <row r="2527" spans="1:6" ht="24">
      <c r="A2527" s="190">
        <v>540806</v>
      </c>
      <c r="B2527" s="176" t="s">
        <v>2722</v>
      </c>
      <c r="C2527" s="200" t="s">
        <v>2398</v>
      </c>
      <c r="D2527" s="178" t="s">
        <v>2399</v>
      </c>
      <c r="E2527" s="180">
        <v>27127</v>
      </c>
      <c r="F2527" s="192">
        <v>0</v>
      </c>
    </row>
    <row r="2528" spans="1:6" ht="24">
      <c r="A2528" s="190">
        <v>540806</v>
      </c>
      <c r="B2528" s="176" t="s">
        <v>2722</v>
      </c>
      <c r="C2528" s="200" t="s">
        <v>2400</v>
      </c>
      <c r="D2528" s="178" t="s">
        <v>2401</v>
      </c>
      <c r="E2528" s="180">
        <v>132337</v>
      </c>
      <c r="F2528" s="192">
        <v>0</v>
      </c>
    </row>
    <row r="2529" spans="1:6" ht="24">
      <c r="A2529" s="190">
        <v>540806</v>
      </c>
      <c r="B2529" s="176" t="s">
        <v>2722</v>
      </c>
      <c r="C2529" s="200" t="s">
        <v>2402</v>
      </c>
      <c r="D2529" s="178" t="s">
        <v>2403</v>
      </c>
      <c r="E2529" s="180">
        <v>52671</v>
      </c>
      <c r="F2529" s="192">
        <v>0</v>
      </c>
    </row>
    <row r="2530" spans="1:6" ht="24">
      <c r="A2530" s="190">
        <v>540806</v>
      </c>
      <c r="B2530" s="176" t="s">
        <v>2722</v>
      </c>
      <c r="C2530" s="200" t="s">
        <v>2404</v>
      </c>
      <c r="D2530" s="178" t="s">
        <v>2405</v>
      </c>
      <c r="E2530" s="180">
        <v>298408</v>
      </c>
      <c r="F2530" s="192">
        <v>0</v>
      </c>
    </row>
    <row r="2531" spans="1:6" ht="24">
      <c r="A2531" s="190">
        <v>540806</v>
      </c>
      <c r="B2531" s="176" t="s">
        <v>2722</v>
      </c>
      <c r="C2531" s="200" t="s">
        <v>2406</v>
      </c>
      <c r="D2531" s="178" t="s">
        <v>1239</v>
      </c>
      <c r="E2531" s="180">
        <v>216856</v>
      </c>
      <c r="F2531" s="192">
        <v>0</v>
      </c>
    </row>
    <row r="2532" spans="1:6" ht="24">
      <c r="A2532" s="190">
        <v>540806</v>
      </c>
      <c r="B2532" s="176" t="s">
        <v>2722</v>
      </c>
      <c r="C2532" s="200" t="s">
        <v>2407</v>
      </c>
      <c r="D2532" s="178" t="s">
        <v>2408</v>
      </c>
      <c r="E2532" s="180">
        <v>161019</v>
      </c>
      <c r="F2532" s="192">
        <v>0</v>
      </c>
    </row>
    <row r="2533" spans="1:6" ht="24">
      <c r="A2533" s="190">
        <v>540806</v>
      </c>
      <c r="B2533" s="176" t="s">
        <v>2722</v>
      </c>
      <c r="C2533" s="200" t="s">
        <v>2409</v>
      </c>
      <c r="D2533" s="178" t="s">
        <v>1017</v>
      </c>
      <c r="E2533" s="180">
        <v>74757</v>
      </c>
      <c r="F2533" s="192">
        <v>0</v>
      </c>
    </row>
    <row r="2534" spans="1:6" ht="24">
      <c r="A2534" s="190">
        <v>540806</v>
      </c>
      <c r="B2534" s="176" t="s">
        <v>2722</v>
      </c>
      <c r="C2534" s="200" t="s">
        <v>2410</v>
      </c>
      <c r="D2534" s="178" t="s">
        <v>2411</v>
      </c>
      <c r="E2534" s="180">
        <v>20952</v>
      </c>
      <c r="F2534" s="192">
        <v>0</v>
      </c>
    </row>
    <row r="2535" spans="1:6" ht="24">
      <c r="A2535" s="190">
        <v>540806</v>
      </c>
      <c r="B2535" s="176" t="s">
        <v>2722</v>
      </c>
      <c r="C2535" s="200" t="s">
        <v>2412</v>
      </c>
      <c r="D2535" s="178" t="s">
        <v>2413</v>
      </c>
      <c r="E2535" s="180">
        <v>292299</v>
      </c>
      <c r="F2535" s="192">
        <v>0</v>
      </c>
    </row>
    <row r="2536" spans="1:6" ht="24">
      <c r="A2536" s="190">
        <v>540806</v>
      </c>
      <c r="B2536" s="176" t="s">
        <v>2722</v>
      </c>
      <c r="C2536" s="200" t="s">
        <v>2414</v>
      </c>
      <c r="D2536" s="178" t="s">
        <v>2415</v>
      </c>
      <c r="E2536" s="180">
        <v>17332</v>
      </c>
      <c r="F2536" s="192">
        <v>0</v>
      </c>
    </row>
    <row r="2537" spans="1:6" ht="24">
      <c r="A2537" s="190">
        <v>540806</v>
      </c>
      <c r="B2537" s="176" t="s">
        <v>2722</v>
      </c>
      <c r="C2537" s="200" t="s">
        <v>2416</v>
      </c>
      <c r="D2537" s="178" t="s">
        <v>2417</v>
      </c>
      <c r="E2537" s="180">
        <v>31042</v>
      </c>
      <c r="F2537" s="192">
        <v>0</v>
      </c>
    </row>
    <row r="2538" spans="1:6" ht="24">
      <c r="A2538" s="190">
        <v>540806</v>
      </c>
      <c r="B2538" s="178" t="s">
        <v>2722</v>
      </c>
      <c r="C2538" s="200" t="s">
        <v>2418</v>
      </c>
      <c r="D2538" s="178" t="s">
        <v>2419</v>
      </c>
      <c r="E2538" s="180">
        <v>22646</v>
      </c>
      <c r="F2538" s="192">
        <v>0</v>
      </c>
    </row>
    <row r="2539" spans="1:6" ht="24">
      <c r="A2539" s="190">
        <v>540806</v>
      </c>
      <c r="B2539" s="176" t="s">
        <v>2722</v>
      </c>
      <c r="C2539" s="200">
        <v>218968689</v>
      </c>
      <c r="D2539" s="178" t="s">
        <v>2420</v>
      </c>
      <c r="E2539" s="180">
        <v>241670</v>
      </c>
      <c r="F2539" s="192">
        <v>0</v>
      </c>
    </row>
    <row r="2540" spans="1:6" ht="24">
      <c r="A2540" s="190">
        <v>540806</v>
      </c>
      <c r="B2540" s="176" t="s">
        <v>2722</v>
      </c>
      <c r="C2540" s="200" t="s">
        <v>2421</v>
      </c>
      <c r="D2540" s="178" t="s">
        <v>1269</v>
      </c>
      <c r="E2540" s="180">
        <v>16275</v>
      </c>
      <c r="F2540" s="192">
        <v>0</v>
      </c>
    </row>
    <row r="2541" spans="1:6" ht="24">
      <c r="A2541" s="190">
        <v>540806</v>
      </c>
      <c r="B2541" s="176" t="s">
        <v>2722</v>
      </c>
      <c r="C2541" s="200" t="s">
        <v>2422</v>
      </c>
      <c r="D2541" s="178" t="s">
        <v>2423</v>
      </c>
      <c r="E2541" s="180">
        <v>32287</v>
      </c>
      <c r="F2541" s="192">
        <v>0</v>
      </c>
    </row>
    <row r="2542" spans="1:6" ht="24">
      <c r="A2542" s="190">
        <v>540806</v>
      </c>
      <c r="B2542" s="176" t="s">
        <v>2722</v>
      </c>
      <c r="C2542" s="200" t="s">
        <v>2424</v>
      </c>
      <c r="D2542" s="178" t="s">
        <v>2425</v>
      </c>
      <c r="E2542" s="180">
        <v>71529</v>
      </c>
      <c r="F2542" s="192">
        <v>0</v>
      </c>
    </row>
    <row r="2543" spans="1:6" ht="24">
      <c r="A2543" s="190">
        <v>540806</v>
      </c>
      <c r="B2543" s="176" t="s">
        <v>2722</v>
      </c>
      <c r="C2543" s="200" t="s">
        <v>2426</v>
      </c>
      <c r="D2543" s="178" t="s">
        <v>2427</v>
      </c>
      <c r="E2543" s="180">
        <v>192696</v>
      </c>
      <c r="F2543" s="192">
        <v>0</v>
      </c>
    </row>
    <row r="2544" spans="1:6" ht="24">
      <c r="A2544" s="190">
        <v>540806</v>
      </c>
      <c r="B2544" s="176" t="s">
        <v>2722</v>
      </c>
      <c r="C2544" s="200" t="s">
        <v>2428</v>
      </c>
      <c r="D2544" s="178" t="s">
        <v>2429</v>
      </c>
      <c r="E2544" s="180">
        <v>72635</v>
      </c>
      <c r="F2544" s="192">
        <v>0</v>
      </c>
    </row>
    <row r="2545" spans="1:6" ht="24">
      <c r="A2545" s="190">
        <v>540806</v>
      </c>
      <c r="B2545" s="176" t="s">
        <v>2722</v>
      </c>
      <c r="C2545" s="200" t="s">
        <v>2430</v>
      </c>
      <c r="D2545" s="178" t="s">
        <v>1011</v>
      </c>
      <c r="E2545" s="180">
        <v>59769</v>
      </c>
      <c r="F2545" s="192">
        <v>0</v>
      </c>
    </row>
    <row r="2546" spans="1:6" ht="24">
      <c r="A2546" s="190">
        <v>540806</v>
      </c>
      <c r="B2546" s="176" t="s">
        <v>2722</v>
      </c>
      <c r="C2546" s="200" t="s">
        <v>2431</v>
      </c>
      <c r="D2546" s="178" t="s">
        <v>2432</v>
      </c>
      <c r="E2546" s="180">
        <v>25979</v>
      </c>
      <c r="F2546" s="192">
        <v>0</v>
      </c>
    </row>
    <row r="2547" spans="1:6" ht="24">
      <c r="A2547" s="190">
        <v>540806</v>
      </c>
      <c r="B2547" s="176" t="s">
        <v>2722</v>
      </c>
      <c r="C2547" s="200" t="s">
        <v>2433</v>
      </c>
      <c r="D2547" s="178" t="s">
        <v>2434</v>
      </c>
      <c r="E2547" s="180">
        <v>37937</v>
      </c>
      <c r="F2547" s="192">
        <v>0</v>
      </c>
    </row>
    <row r="2548" spans="1:6" ht="24">
      <c r="A2548" s="190">
        <v>540806</v>
      </c>
      <c r="B2548" s="176" t="s">
        <v>2722</v>
      </c>
      <c r="C2548" s="200">
        <v>215568855</v>
      </c>
      <c r="D2548" s="178" t="s">
        <v>2435</v>
      </c>
      <c r="E2548" s="180">
        <v>31345</v>
      </c>
      <c r="F2548" s="192">
        <v>0</v>
      </c>
    </row>
    <row r="2549" spans="1:6" ht="24">
      <c r="A2549" s="190">
        <v>540806</v>
      </c>
      <c r="B2549" s="176" t="s">
        <v>2722</v>
      </c>
      <c r="C2549" s="200" t="s">
        <v>2436</v>
      </c>
      <c r="D2549" s="178" t="s">
        <v>2437</v>
      </c>
      <c r="E2549" s="180">
        <v>146389</v>
      </c>
      <c r="F2549" s="192">
        <v>0</v>
      </c>
    </row>
    <row r="2550" spans="1:6" ht="24">
      <c r="A2550" s="190">
        <v>540806</v>
      </c>
      <c r="B2550" s="176" t="s">
        <v>2722</v>
      </c>
      <c r="C2550" s="200" t="s">
        <v>2438</v>
      </c>
      <c r="D2550" s="178" t="s">
        <v>2439</v>
      </c>
      <c r="E2550" s="180">
        <v>10172</v>
      </c>
      <c r="F2550" s="192">
        <v>0</v>
      </c>
    </row>
    <row r="2551" spans="1:6" ht="24">
      <c r="A2551" s="190">
        <v>540806</v>
      </c>
      <c r="B2551" s="176" t="s">
        <v>2722</v>
      </c>
      <c r="C2551" s="200" t="s">
        <v>2440</v>
      </c>
      <c r="D2551" s="178" t="s">
        <v>1427</v>
      </c>
      <c r="E2551" s="180">
        <v>38664</v>
      </c>
      <c r="F2551" s="192">
        <v>0</v>
      </c>
    </row>
    <row r="2552" spans="1:6" ht="24">
      <c r="A2552" s="190">
        <v>540806</v>
      </c>
      <c r="B2552" s="176" t="s">
        <v>2722</v>
      </c>
      <c r="C2552" s="200" t="s">
        <v>2441</v>
      </c>
      <c r="D2552" s="178" t="s">
        <v>2442</v>
      </c>
      <c r="E2552" s="180">
        <v>54041</v>
      </c>
      <c r="F2552" s="192">
        <v>0</v>
      </c>
    </row>
    <row r="2553" spans="1:6" ht="24">
      <c r="A2553" s="190">
        <v>540806</v>
      </c>
      <c r="B2553" s="176" t="s">
        <v>2722</v>
      </c>
      <c r="C2553" s="200">
        <v>211070110</v>
      </c>
      <c r="D2553" s="178" t="s">
        <v>1448</v>
      </c>
      <c r="E2553" s="180">
        <v>103711</v>
      </c>
      <c r="F2553" s="192">
        <v>0</v>
      </c>
    </row>
    <row r="2554" spans="1:6" ht="24">
      <c r="A2554" s="190">
        <v>540806</v>
      </c>
      <c r="B2554" s="176" t="s">
        <v>2722</v>
      </c>
      <c r="C2554" s="200">
        <v>212470124</v>
      </c>
      <c r="D2554" s="178" t="s">
        <v>2443</v>
      </c>
      <c r="E2554" s="180">
        <v>147569</v>
      </c>
      <c r="F2554" s="192">
        <v>0</v>
      </c>
    </row>
    <row r="2555" spans="1:6" ht="24">
      <c r="A2555" s="190">
        <v>540806</v>
      </c>
      <c r="B2555" s="176" t="s">
        <v>2722</v>
      </c>
      <c r="C2555" s="200">
        <v>210470204</v>
      </c>
      <c r="D2555" s="178" t="s">
        <v>2444</v>
      </c>
      <c r="E2555" s="180">
        <v>74964</v>
      </c>
      <c r="F2555" s="192">
        <v>0</v>
      </c>
    </row>
    <row r="2556" spans="1:6" ht="24">
      <c r="A2556" s="190">
        <v>540806</v>
      </c>
      <c r="B2556" s="176" t="s">
        <v>2722</v>
      </c>
      <c r="C2556" s="200">
        <v>211570215</v>
      </c>
      <c r="D2556" s="178" t="s">
        <v>2445</v>
      </c>
      <c r="E2556" s="180">
        <v>497807</v>
      </c>
      <c r="F2556" s="192">
        <v>0</v>
      </c>
    </row>
    <row r="2557" spans="1:6" ht="24">
      <c r="A2557" s="190">
        <v>540806</v>
      </c>
      <c r="B2557" s="176" t="s">
        <v>2722</v>
      </c>
      <c r="C2557" s="200" t="s">
        <v>2446</v>
      </c>
      <c r="D2557" s="178" t="s">
        <v>2447</v>
      </c>
      <c r="E2557" s="180">
        <v>129798</v>
      </c>
      <c r="F2557" s="192">
        <v>0</v>
      </c>
    </row>
    <row r="2558" spans="1:6" ht="24">
      <c r="A2558" s="190">
        <v>540806</v>
      </c>
      <c r="B2558" s="176" t="s">
        <v>2722</v>
      </c>
      <c r="C2558" s="200">
        <v>213070230</v>
      </c>
      <c r="D2558" s="178" t="s">
        <v>2448</v>
      </c>
      <c r="E2558" s="180">
        <v>50175</v>
      </c>
      <c r="F2558" s="192">
        <v>0</v>
      </c>
    </row>
    <row r="2559" spans="1:6" ht="24">
      <c r="A2559" s="190">
        <v>540806</v>
      </c>
      <c r="B2559" s="176" t="s">
        <v>2722</v>
      </c>
      <c r="C2559" s="200">
        <v>213370233</v>
      </c>
      <c r="D2559" s="178" t="s">
        <v>2449</v>
      </c>
      <c r="E2559" s="180">
        <v>85344</v>
      </c>
      <c r="F2559" s="192">
        <v>0</v>
      </c>
    </row>
    <row r="2560" spans="1:6" ht="24">
      <c r="A2560" s="190">
        <v>540806</v>
      </c>
      <c r="B2560" s="176" t="s">
        <v>2722</v>
      </c>
      <c r="C2560" s="200">
        <v>213570235</v>
      </c>
      <c r="D2560" s="178" t="s">
        <v>2450</v>
      </c>
      <c r="E2560" s="180">
        <v>192960</v>
      </c>
      <c r="F2560" s="192">
        <v>0</v>
      </c>
    </row>
    <row r="2561" spans="1:6" ht="24">
      <c r="A2561" s="190">
        <v>540806</v>
      </c>
      <c r="B2561" s="176" t="s">
        <v>2722</v>
      </c>
      <c r="C2561" s="200">
        <v>216570265</v>
      </c>
      <c r="D2561" s="178" t="s">
        <v>2451</v>
      </c>
      <c r="E2561" s="180">
        <v>188377</v>
      </c>
      <c r="F2561" s="192">
        <v>0</v>
      </c>
    </row>
    <row r="2562" spans="1:6" ht="24">
      <c r="A2562" s="190">
        <v>540806</v>
      </c>
      <c r="B2562" s="176" t="s">
        <v>2722</v>
      </c>
      <c r="C2562" s="200">
        <v>210070400</v>
      </c>
      <c r="D2562" s="178" t="s">
        <v>1202</v>
      </c>
      <c r="E2562" s="180">
        <v>126650</v>
      </c>
      <c r="F2562" s="192">
        <v>0</v>
      </c>
    </row>
    <row r="2563" spans="1:6" ht="24">
      <c r="A2563" s="190">
        <v>540806</v>
      </c>
      <c r="B2563" s="176" t="s">
        <v>2722</v>
      </c>
      <c r="C2563" s="200">
        <v>211870418</v>
      </c>
      <c r="D2563" s="178" t="s">
        <v>2452</v>
      </c>
      <c r="E2563" s="180">
        <v>231266</v>
      </c>
      <c r="F2563" s="192">
        <v>0</v>
      </c>
    </row>
    <row r="2564" spans="1:6" ht="24">
      <c r="A2564" s="190">
        <v>540806</v>
      </c>
      <c r="B2564" s="176" t="s">
        <v>2722</v>
      </c>
      <c r="C2564" s="200">
        <v>212970429</v>
      </c>
      <c r="D2564" s="178" t="s">
        <v>2453</v>
      </c>
      <c r="E2564" s="180">
        <v>447662</v>
      </c>
      <c r="F2564" s="192">
        <v>0</v>
      </c>
    </row>
    <row r="2565" spans="1:6" ht="24">
      <c r="A2565" s="190">
        <v>540806</v>
      </c>
      <c r="B2565" s="176" t="s">
        <v>2722</v>
      </c>
      <c r="C2565" s="200">
        <v>217370473</v>
      </c>
      <c r="D2565" s="178" t="s">
        <v>2454</v>
      </c>
      <c r="E2565" s="180">
        <v>128047</v>
      </c>
      <c r="F2565" s="192">
        <v>0</v>
      </c>
    </row>
    <row r="2566" spans="1:6" ht="24">
      <c r="A2566" s="190">
        <v>540806</v>
      </c>
      <c r="B2566" s="176" t="s">
        <v>2722</v>
      </c>
      <c r="C2566" s="200">
        <v>210870508</v>
      </c>
      <c r="D2566" s="178" t="s">
        <v>2455</v>
      </c>
      <c r="E2566" s="180">
        <v>233006</v>
      </c>
      <c r="F2566" s="192">
        <v>0</v>
      </c>
    </row>
    <row r="2567" spans="1:6" ht="24">
      <c r="A2567" s="190">
        <v>540806</v>
      </c>
      <c r="B2567" s="176" t="s">
        <v>2722</v>
      </c>
      <c r="C2567" s="200">
        <v>212370523</v>
      </c>
      <c r="D2567" s="178" t="s">
        <v>2456</v>
      </c>
      <c r="E2567" s="180">
        <v>151091</v>
      </c>
      <c r="F2567" s="192">
        <v>0</v>
      </c>
    </row>
    <row r="2568" spans="1:6" ht="24">
      <c r="A2568" s="190">
        <v>540806</v>
      </c>
      <c r="B2568" s="176" t="s">
        <v>2722</v>
      </c>
      <c r="C2568" s="200">
        <v>217070670</v>
      </c>
      <c r="D2568" s="178" t="s">
        <v>2457</v>
      </c>
      <c r="E2568" s="180">
        <v>425265</v>
      </c>
      <c r="F2568" s="192">
        <v>0</v>
      </c>
    </row>
    <row r="2569" spans="1:6" ht="24">
      <c r="A2569" s="190">
        <v>540806</v>
      </c>
      <c r="B2569" s="176" t="s">
        <v>2722</v>
      </c>
      <c r="C2569" s="200">
        <v>217870678</v>
      </c>
      <c r="D2569" s="178" t="s">
        <v>2458</v>
      </c>
      <c r="E2569" s="180">
        <v>292777</v>
      </c>
      <c r="F2569" s="192">
        <v>0</v>
      </c>
    </row>
    <row r="2570" spans="1:6" ht="24">
      <c r="A2570" s="190">
        <v>540806</v>
      </c>
      <c r="B2570" s="176" t="s">
        <v>2722</v>
      </c>
      <c r="C2570" s="200">
        <v>210270702</v>
      </c>
      <c r="D2570" s="178" t="s">
        <v>2459</v>
      </c>
      <c r="E2570" s="180">
        <v>122695</v>
      </c>
      <c r="F2570" s="192">
        <v>0</v>
      </c>
    </row>
    <row r="2571" spans="1:6" ht="24">
      <c r="A2571" s="190">
        <v>540806</v>
      </c>
      <c r="B2571" s="176" t="s">
        <v>2722</v>
      </c>
      <c r="C2571" s="200">
        <v>210870708</v>
      </c>
      <c r="D2571" s="178" t="s">
        <v>2460</v>
      </c>
      <c r="E2571" s="180">
        <v>501230</v>
      </c>
      <c r="F2571" s="192">
        <v>0</v>
      </c>
    </row>
    <row r="2572" spans="1:6" ht="24">
      <c r="A2572" s="190">
        <v>540806</v>
      </c>
      <c r="B2572" s="176" t="s">
        <v>2722</v>
      </c>
      <c r="C2572" s="200">
        <v>211370713</v>
      </c>
      <c r="D2572" s="178" t="s">
        <v>2461</v>
      </c>
      <c r="E2572" s="180">
        <v>590926</v>
      </c>
      <c r="F2572" s="192">
        <v>0</v>
      </c>
    </row>
    <row r="2573" spans="1:6" ht="24">
      <c r="A2573" s="190">
        <v>540806</v>
      </c>
      <c r="B2573" s="176" t="s">
        <v>2722</v>
      </c>
      <c r="C2573" s="200">
        <v>211770717</v>
      </c>
      <c r="D2573" s="178" t="s">
        <v>1259</v>
      </c>
      <c r="E2573" s="180">
        <v>181004</v>
      </c>
      <c r="F2573" s="192">
        <v>0</v>
      </c>
    </row>
    <row r="2574" spans="1:6" ht="24">
      <c r="A2574" s="190">
        <v>540806</v>
      </c>
      <c r="B2574" s="176" t="s">
        <v>2722</v>
      </c>
      <c r="C2574" s="200">
        <v>214270742</v>
      </c>
      <c r="D2574" s="178" t="s">
        <v>2462</v>
      </c>
      <c r="E2574" s="180">
        <v>255440</v>
      </c>
      <c r="F2574" s="192">
        <v>0</v>
      </c>
    </row>
    <row r="2575" spans="1:6" ht="24">
      <c r="A2575" s="190">
        <v>540806</v>
      </c>
      <c r="B2575" s="176" t="s">
        <v>2722</v>
      </c>
      <c r="C2575" s="200">
        <v>217170771</v>
      </c>
      <c r="D2575" s="178" t="s">
        <v>1011</v>
      </c>
      <c r="E2575" s="180">
        <v>313505</v>
      </c>
      <c r="F2575" s="192">
        <v>0</v>
      </c>
    </row>
    <row r="2576" spans="1:6" ht="24">
      <c r="A2576" s="190">
        <v>540806</v>
      </c>
      <c r="B2576" s="176" t="s">
        <v>2722</v>
      </c>
      <c r="C2576" s="200">
        <v>212070820</v>
      </c>
      <c r="D2576" s="178" t="s">
        <v>2463</v>
      </c>
      <c r="E2576" s="180">
        <v>241896</v>
      </c>
      <c r="F2576" s="192">
        <v>0</v>
      </c>
    </row>
    <row r="2577" spans="1:6" ht="24">
      <c r="A2577" s="190">
        <v>540806</v>
      </c>
      <c r="B2577" s="176" t="s">
        <v>2722</v>
      </c>
      <c r="C2577" s="200">
        <v>212370823</v>
      </c>
      <c r="D2577" s="178" t="s">
        <v>2464</v>
      </c>
      <c r="E2577" s="180">
        <v>209524</v>
      </c>
      <c r="F2577" s="192">
        <v>0</v>
      </c>
    </row>
    <row r="2578" spans="1:6" ht="24">
      <c r="A2578" s="190">
        <v>540806</v>
      </c>
      <c r="B2578" s="176" t="s">
        <v>2722</v>
      </c>
      <c r="C2578" s="200">
        <v>212473024</v>
      </c>
      <c r="D2578" s="178" t="s">
        <v>2465</v>
      </c>
      <c r="E2578" s="180">
        <v>35000</v>
      </c>
      <c r="F2578" s="192">
        <v>0</v>
      </c>
    </row>
    <row r="2579" spans="1:6" ht="24">
      <c r="A2579" s="190">
        <v>540806</v>
      </c>
      <c r="B2579" s="176" t="s">
        <v>2722</v>
      </c>
      <c r="C2579" s="200">
        <v>212673026</v>
      </c>
      <c r="D2579" s="178" t="s">
        <v>2466</v>
      </c>
      <c r="E2579" s="180">
        <v>64978</v>
      </c>
      <c r="F2579" s="192">
        <v>0</v>
      </c>
    </row>
    <row r="2580" spans="1:6" ht="24">
      <c r="A2580" s="190">
        <v>540806</v>
      </c>
      <c r="B2580" s="176" t="s">
        <v>2722</v>
      </c>
      <c r="C2580" s="200">
        <v>213073030</v>
      </c>
      <c r="D2580" s="178" t="s">
        <v>2467</v>
      </c>
      <c r="E2580" s="180">
        <v>61522</v>
      </c>
      <c r="F2580" s="192">
        <v>0</v>
      </c>
    </row>
    <row r="2581" spans="1:6" ht="24">
      <c r="A2581" s="190">
        <v>540806</v>
      </c>
      <c r="B2581" s="176" t="s">
        <v>2722</v>
      </c>
      <c r="C2581" s="200">
        <v>214373043</v>
      </c>
      <c r="D2581" s="178" t="s">
        <v>2468</v>
      </c>
      <c r="E2581" s="180">
        <v>75272</v>
      </c>
      <c r="F2581" s="192">
        <v>0</v>
      </c>
    </row>
    <row r="2582" spans="1:6" ht="24">
      <c r="A2582" s="190">
        <v>540806</v>
      </c>
      <c r="B2582" s="176" t="s">
        <v>2722</v>
      </c>
      <c r="C2582" s="200">
        <v>215573055</v>
      </c>
      <c r="D2582" s="178" t="s">
        <v>2469</v>
      </c>
      <c r="E2582" s="180">
        <v>105209</v>
      </c>
      <c r="F2582" s="192">
        <v>0</v>
      </c>
    </row>
    <row r="2583" spans="1:6" ht="24">
      <c r="A2583" s="190">
        <v>540806</v>
      </c>
      <c r="B2583" s="176" t="s">
        <v>2722</v>
      </c>
      <c r="C2583" s="200">
        <v>216773067</v>
      </c>
      <c r="D2583" s="178" t="s">
        <v>2470</v>
      </c>
      <c r="E2583" s="180">
        <v>192963</v>
      </c>
      <c r="F2583" s="192">
        <v>0</v>
      </c>
    </row>
    <row r="2584" spans="1:6" ht="24">
      <c r="A2584" s="190">
        <v>540806</v>
      </c>
      <c r="B2584" s="176" t="s">
        <v>2722</v>
      </c>
      <c r="C2584" s="200">
        <v>212473124</v>
      </c>
      <c r="D2584" s="178" t="s">
        <v>2471</v>
      </c>
      <c r="E2584" s="180">
        <v>132370</v>
      </c>
      <c r="F2584" s="192">
        <v>0</v>
      </c>
    </row>
    <row r="2585" spans="1:6" ht="24">
      <c r="A2585" s="190">
        <v>540806</v>
      </c>
      <c r="B2585" s="176" t="s">
        <v>2722</v>
      </c>
      <c r="C2585" s="200">
        <v>214873148</v>
      </c>
      <c r="D2585" s="178" t="s">
        <v>2472</v>
      </c>
      <c r="E2585" s="180">
        <v>56253</v>
      </c>
      <c r="F2585" s="192">
        <v>0</v>
      </c>
    </row>
    <row r="2586" spans="1:6" ht="24">
      <c r="A2586" s="190">
        <v>540806</v>
      </c>
      <c r="B2586" s="176" t="s">
        <v>2722</v>
      </c>
      <c r="C2586" s="200">
        <v>215273152</v>
      </c>
      <c r="D2586" s="178" t="s">
        <v>2473</v>
      </c>
      <c r="E2586" s="180">
        <v>48292</v>
      </c>
      <c r="F2586" s="192">
        <v>0</v>
      </c>
    </row>
    <row r="2587" spans="1:6" ht="24">
      <c r="A2587" s="190">
        <v>540806</v>
      </c>
      <c r="B2587" s="176" t="s">
        <v>2722</v>
      </c>
      <c r="C2587" s="200">
        <v>216873168</v>
      </c>
      <c r="D2587" s="178" t="s">
        <v>2474</v>
      </c>
      <c r="E2587" s="180">
        <v>409251</v>
      </c>
      <c r="F2587" s="192">
        <v>0</v>
      </c>
    </row>
    <row r="2588" spans="1:6" ht="24">
      <c r="A2588" s="190">
        <v>540806</v>
      </c>
      <c r="B2588" s="176" t="s">
        <v>2722</v>
      </c>
      <c r="C2588" s="200">
        <v>210073200</v>
      </c>
      <c r="D2588" s="178" t="s">
        <v>2475</v>
      </c>
      <c r="E2588" s="180">
        <v>68672</v>
      </c>
      <c r="F2588" s="192">
        <v>0</v>
      </c>
    </row>
    <row r="2589" spans="1:6" ht="24">
      <c r="A2589" s="190">
        <v>540806</v>
      </c>
      <c r="B2589" s="176" t="s">
        <v>2722</v>
      </c>
      <c r="C2589" s="200">
        <v>211773217</v>
      </c>
      <c r="D2589" s="178" t="s">
        <v>2476</v>
      </c>
      <c r="E2589" s="180">
        <v>331456</v>
      </c>
      <c r="F2589" s="192">
        <v>0</v>
      </c>
    </row>
    <row r="2590" spans="1:6" ht="24">
      <c r="A2590" s="190">
        <v>540806</v>
      </c>
      <c r="B2590" s="176" t="s">
        <v>2722</v>
      </c>
      <c r="C2590" s="200">
        <v>212673226</v>
      </c>
      <c r="D2590" s="178" t="s">
        <v>2477</v>
      </c>
      <c r="E2590" s="180">
        <v>77118</v>
      </c>
      <c r="F2590" s="192">
        <v>0</v>
      </c>
    </row>
    <row r="2591" spans="1:6" ht="24">
      <c r="A2591" s="190">
        <v>540806</v>
      </c>
      <c r="B2591" s="176" t="s">
        <v>2722</v>
      </c>
      <c r="C2591" s="200">
        <v>213673236</v>
      </c>
      <c r="D2591" s="178" t="s">
        <v>2478</v>
      </c>
      <c r="E2591" s="180">
        <v>65611</v>
      </c>
      <c r="F2591" s="192">
        <v>0</v>
      </c>
    </row>
    <row r="2592" spans="1:6" ht="24">
      <c r="A2592" s="190">
        <v>540806</v>
      </c>
      <c r="B2592" s="176" t="s">
        <v>2722</v>
      </c>
      <c r="C2592" s="200">
        <v>216873268</v>
      </c>
      <c r="D2592" s="178" t="s">
        <v>2479</v>
      </c>
      <c r="E2592" s="180">
        <v>452294</v>
      </c>
      <c r="F2592" s="192">
        <v>0</v>
      </c>
    </row>
    <row r="2593" spans="1:6" ht="24">
      <c r="A2593" s="190">
        <v>540806</v>
      </c>
      <c r="B2593" s="176" t="s">
        <v>2722</v>
      </c>
      <c r="C2593" s="200">
        <v>217073270</v>
      </c>
      <c r="D2593" s="178" t="s">
        <v>2480</v>
      </c>
      <c r="E2593" s="180">
        <v>64735</v>
      </c>
      <c r="F2593" s="192">
        <v>0</v>
      </c>
    </row>
    <row r="2594" spans="1:6" ht="24">
      <c r="A2594" s="190">
        <v>540806</v>
      </c>
      <c r="B2594" s="176" t="s">
        <v>2722</v>
      </c>
      <c r="C2594" s="200">
        <v>217573275</v>
      </c>
      <c r="D2594" s="178" t="s">
        <v>2481</v>
      </c>
      <c r="E2594" s="180">
        <v>169999</v>
      </c>
      <c r="F2594" s="192">
        <v>0</v>
      </c>
    </row>
    <row r="2595" spans="1:6" ht="24">
      <c r="A2595" s="190">
        <v>540806</v>
      </c>
      <c r="B2595" s="176" t="s">
        <v>2722</v>
      </c>
      <c r="C2595" s="200">
        <v>218373283</v>
      </c>
      <c r="D2595" s="178" t="s">
        <v>2482</v>
      </c>
      <c r="E2595" s="180">
        <v>222748</v>
      </c>
      <c r="F2595" s="192">
        <v>0</v>
      </c>
    </row>
    <row r="2596" spans="1:6" ht="24">
      <c r="A2596" s="190">
        <v>540806</v>
      </c>
      <c r="B2596" s="176" t="s">
        <v>2722</v>
      </c>
      <c r="C2596" s="200">
        <v>211973319</v>
      </c>
      <c r="D2596" s="178" t="s">
        <v>2483</v>
      </c>
      <c r="E2596" s="180">
        <v>249576</v>
      </c>
      <c r="F2596" s="192">
        <v>0</v>
      </c>
    </row>
    <row r="2597" spans="1:6" ht="24">
      <c r="A2597" s="190">
        <v>540806</v>
      </c>
      <c r="B2597" s="176" t="s">
        <v>2722</v>
      </c>
      <c r="C2597" s="200">
        <v>214773347</v>
      </c>
      <c r="D2597" s="178" t="s">
        <v>2484</v>
      </c>
      <c r="E2597" s="180">
        <v>57314</v>
      </c>
      <c r="F2597" s="192">
        <v>0</v>
      </c>
    </row>
    <row r="2598" spans="1:6" ht="24">
      <c r="A2598" s="190">
        <v>540806</v>
      </c>
      <c r="B2598" s="176" t="s">
        <v>2722</v>
      </c>
      <c r="C2598" s="200">
        <v>214973349</v>
      </c>
      <c r="D2598" s="178" t="s">
        <v>2485</v>
      </c>
      <c r="E2598" s="180">
        <v>187974</v>
      </c>
      <c r="F2598" s="192">
        <v>0</v>
      </c>
    </row>
    <row r="2599" spans="1:6" ht="24">
      <c r="A2599" s="190">
        <v>540806</v>
      </c>
      <c r="B2599" s="176" t="s">
        <v>2722</v>
      </c>
      <c r="C2599" s="200">
        <v>215273352</v>
      </c>
      <c r="D2599" s="178" t="s">
        <v>2486</v>
      </c>
      <c r="E2599" s="180">
        <v>99007</v>
      </c>
      <c r="F2599" s="192">
        <v>0</v>
      </c>
    </row>
    <row r="2600" spans="1:6" ht="24">
      <c r="A2600" s="190">
        <v>540806</v>
      </c>
      <c r="B2600" s="176" t="s">
        <v>2722</v>
      </c>
      <c r="C2600" s="200">
        <v>210873408</v>
      </c>
      <c r="D2600" s="178" t="s">
        <v>2487</v>
      </c>
      <c r="E2600" s="180">
        <v>133151</v>
      </c>
      <c r="F2600" s="192">
        <v>0</v>
      </c>
    </row>
    <row r="2601" spans="1:6" ht="24">
      <c r="A2601" s="190">
        <v>540806</v>
      </c>
      <c r="B2601" s="176" t="s">
        <v>2722</v>
      </c>
      <c r="C2601" s="200">
        <v>211173411</v>
      </c>
      <c r="D2601" s="178" t="s">
        <v>2488</v>
      </c>
      <c r="E2601" s="180">
        <v>301153</v>
      </c>
      <c r="F2601" s="192">
        <v>0</v>
      </c>
    </row>
    <row r="2602" spans="1:6" ht="24">
      <c r="A2602" s="190">
        <v>540806</v>
      </c>
      <c r="B2602" s="176" t="s">
        <v>2722</v>
      </c>
      <c r="C2602" s="200">
        <v>214373443</v>
      </c>
      <c r="D2602" s="178" t="s">
        <v>2489</v>
      </c>
      <c r="E2602" s="180">
        <v>234338</v>
      </c>
      <c r="F2602" s="192">
        <v>0</v>
      </c>
    </row>
    <row r="2603" spans="1:6" ht="24">
      <c r="A2603" s="190">
        <v>540806</v>
      </c>
      <c r="B2603" s="176" t="s">
        <v>2722</v>
      </c>
      <c r="C2603" s="200">
        <v>214973449</v>
      </c>
      <c r="D2603" s="178" t="s">
        <v>2490</v>
      </c>
      <c r="E2603" s="180">
        <v>246449</v>
      </c>
      <c r="F2603" s="192">
        <v>0</v>
      </c>
    </row>
    <row r="2604" spans="1:6" ht="24">
      <c r="A2604" s="190">
        <v>540806</v>
      </c>
      <c r="B2604" s="176" t="s">
        <v>2722</v>
      </c>
      <c r="C2604" s="200">
        <v>216173461</v>
      </c>
      <c r="D2604" s="178" t="s">
        <v>2491</v>
      </c>
      <c r="E2604" s="180">
        <v>38090</v>
      </c>
      <c r="F2604" s="192">
        <v>0</v>
      </c>
    </row>
    <row r="2605" spans="1:6" ht="24">
      <c r="A2605" s="190">
        <v>540806</v>
      </c>
      <c r="B2605" s="176" t="s">
        <v>2722</v>
      </c>
      <c r="C2605" s="200">
        <v>218373483</v>
      </c>
      <c r="D2605" s="178" t="s">
        <v>2492</v>
      </c>
      <c r="E2605" s="180">
        <v>148113</v>
      </c>
      <c r="F2605" s="192">
        <v>0</v>
      </c>
    </row>
    <row r="2606" spans="1:6" ht="24">
      <c r="A2606" s="190">
        <v>540806</v>
      </c>
      <c r="B2606" s="176" t="s">
        <v>2722</v>
      </c>
      <c r="C2606" s="200">
        <v>210473504</v>
      </c>
      <c r="D2606" s="178" t="s">
        <v>2493</v>
      </c>
      <c r="E2606" s="180">
        <v>337439</v>
      </c>
      <c r="F2606" s="192">
        <v>0</v>
      </c>
    </row>
    <row r="2607" spans="1:6" ht="24">
      <c r="A2607" s="190">
        <v>540806</v>
      </c>
      <c r="B2607" s="176" t="s">
        <v>2722</v>
      </c>
      <c r="C2607" s="200">
        <v>212073520</v>
      </c>
      <c r="D2607" s="178" t="s">
        <v>2494</v>
      </c>
      <c r="E2607" s="180">
        <v>66218</v>
      </c>
      <c r="F2607" s="192">
        <v>0</v>
      </c>
    </row>
    <row r="2608" spans="1:6" ht="24">
      <c r="A2608" s="190">
        <v>540806</v>
      </c>
      <c r="B2608" s="176" t="s">
        <v>2722</v>
      </c>
      <c r="C2608" s="200">
        <v>214773547</v>
      </c>
      <c r="D2608" s="178" t="s">
        <v>2495</v>
      </c>
      <c r="E2608" s="180">
        <v>37938</v>
      </c>
      <c r="F2608" s="192">
        <v>0</v>
      </c>
    </row>
    <row r="2609" spans="1:6" ht="24">
      <c r="A2609" s="190">
        <v>540806</v>
      </c>
      <c r="B2609" s="176" t="s">
        <v>2722</v>
      </c>
      <c r="C2609" s="200">
        <v>215573555</v>
      </c>
      <c r="D2609" s="178" t="s">
        <v>2496</v>
      </c>
      <c r="E2609" s="180">
        <v>274677</v>
      </c>
      <c r="F2609" s="192">
        <v>0</v>
      </c>
    </row>
    <row r="2610" spans="1:6" ht="24">
      <c r="A2610" s="190">
        <v>540806</v>
      </c>
      <c r="B2610" s="176" t="s">
        <v>2722</v>
      </c>
      <c r="C2610" s="200">
        <v>216373563</v>
      </c>
      <c r="D2610" s="178" t="s">
        <v>2497</v>
      </c>
      <c r="E2610" s="180">
        <v>72121</v>
      </c>
      <c r="F2610" s="192">
        <v>0</v>
      </c>
    </row>
    <row r="2611" spans="1:6" ht="24">
      <c r="A2611" s="190">
        <v>540806</v>
      </c>
      <c r="B2611" s="176" t="s">
        <v>2722</v>
      </c>
      <c r="C2611" s="200">
        <v>218573585</v>
      </c>
      <c r="D2611" s="178" t="s">
        <v>2498</v>
      </c>
      <c r="E2611" s="180">
        <v>169885</v>
      </c>
      <c r="F2611" s="192">
        <v>0</v>
      </c>
    </row>
    <row r="2612" spans="1:6" ht="24">
      <c r="A2612" s="190">
        <v>540806</v>
      </c>
      <c r="B2612" s="176" t="s">
        <v>2722</v>
      </c>
      <c r="C2612" s="200">
        <v>211673616</v>
      </c>
      <c r="D2612" s="178" t="s">
        <v>2499</v>
      </c>
      <c r="E2612" s="180">
        <v>237716</v>
      </c>
      <c r="F2612" s="192">
        <v>0</v>
      </c>
    </row>
    <row r="2613" spans="1:6" ht="24">
      <c r="A2613" s="190">
        <v>540806</v>
      </c>
      <c r="B2613" s="176" t="s">
        <v>2722</v>
      </c>
      <c r="C2613" s="200">
        <v>212273622</v>
      </c>
      <c r="D2613" s="178" t="s">
        <v>2500</v>
      </c>
      <c r="E2613" s="180">
        <v>46658</v>
      </c>
      <c r="F2613" s="192">
        <v>0</v>
      </c>
    </row>
    <row r="2614" spans="1:6" ht="24">
      <c r="A2614" s="190">
        <v>540806</v>
      </c>
      <c r="B2614" s="176" t="s">
        <v>2722</v>
      </c>
      <c r="C2614" s="200">
        <v>212473624</v>
      </c>
      <c r="D2614" s="178" t="s">
        <v>2501</v>
      </c>
      <c r="E2614" s="180">
        <v>190081</v>
      </c>
      <c r="F2614" s="192">
        <v>0</v>
      </c>
    </row>
    <row r="2615" spans="1:6" ht="24">
      <c r="A2615" s="190">
        <v>540806</v>
      </c>
      <c r="B2615" s="176" t="s">
        <v>2722</v>
      </c>
      <c r="C2615" s="200">
        <v>217173671</v>
      </c>
      <c r="D2615" s="178" t="s">
        <v>2502</v>
      </c>
      <c r="E2615" s="180">
        <v>95928</v>
      </c>
      <c r="F2615" s="192">
        <v>0</v>
      </c>
    </row>
    <row r="2616" spans="1:6" ht="24">
      <c r="A2616" s="190">
        <v>540806</v>
      </c>
      <c r="B2616" s="176" t="s">
        <v>2722</v>
      </c>
      <c r="C2616" s="200">
        <v>217573675</v>
      </c>
      <c r="D2616" s="178" t="s">
        <v>2503</v>
      </c>
      <c r="E2616" s="180">
        <v>128697</v>
      </c>
      <c r="F2616" s="192">
        <v>0</v>
      </c>
    </row>
    <row r="2617" spans="1:6" ht="24">
      <c r="A2617" s="190">
        <v>540806</v>
      </c>
      <c r="B2617" s="176" t="s">
        <v>2722</v>
      </c>
      <c r="C2617" s="200">
        <v>217873678</v>
      </c>
      <c r="D2617" s="178" t="s">
        <v>1257</v>
      </c>
      <c r="E2617" s="180">
        <v>107642</v>
      </c>
      <c r="F2617" s="192">
        <v>0</v>
      </c>
    </row>
    <row r="2618" spans="1:6" ht="24">
      <c r="A2618" s="190">
        <v>540806</v>
      </c>
      <c r="B2618" s="176" t="s">
        <v>2722</v>
      </c>
      <c r="C2618" s="200">
        <v>218673686</v>
      </c>
      <c r="D2618" s="178" t="s">
        <v>2504</v>
      </c>
      <c r="E2618" s="180">
        <v>57043</v>
      </c>
      <c r="F2618" s="192">
        <v>0</v>
      </c>
    </row>
    <row r="2619" spans="1:6" ht="24">
      <c r="A2619" s="190">
        <v>540806</v>
      </c>
      <c r="B2619" s="176" t="s">
        <v>2722</v>
      </c>
      <c r="C2619" s="200">
        <v>217073770</v>
      </c>
      <c r="D2619" s="178" t="s">
        <v>1700</v>
      </c>
      <c r="E2619" s="180">
        <v>36094</v>
      </c>
      <c r="F2619" s="192">
        <v>0</v>
      </c>
    </row>
    <row r="2620" spans="1:6" ht="24">
      <c r="A2620" s="190">
        <v>540806</v>
      </c>
      <c r="B2620" s="176" t="s">
        <v>2722</v>
      </c>
      <c r="C2620" s="200">
        <v>215473854</v>
      </c>
      <c r="D2620" s="178" t="s">
        <v>2505</v>
      </c>
      <c r="E2620" s="180">
        <v>43754</v>
      </c>
      <c r="F2620" s="192">
        <v>0</v>
      </c>
    </row>
    <row r="2621" spans="1:6" ht="24">
      <c r="A2621" s="190">
        <v>540806</v>
      </c>
      <c r="B2621" s="176" t="s">
        <v>2722</v>
      </c>
      <c r="C2621" s="200">
        <v>216173861</v>
      </c>
      <c r="D2621" s="178" t="s">
        <v>2506</v>
      </c>
      <c r="E2621" s="180">
        <v>102973</v>
      </c>
      <c r="F2621" s="192">
        <v>0</v>
      </c>
    </row>
    <row r="2622" spans="1:6" ht="24">
      <c r="A2622" s="190">
        <v>540806</v>
      </c>
      <c r="B2622" s="176" t="s">
        <v>2722</v>
      </c>
      <c r="C2622" s="200">
        <v>217073870</v>
      </c>
      <c r="D2622" s="178" t="s">
        <v>2507</v>
      </c>
      <c r="E2622" s="180">
        <v>81324</v>
      </c>
      <c r="F2622" s="192">
        <v>0</v>
      </c>
    </row>
    <row r="2623" spans="1:6" ht="24">
      <c r="A2623" s="190">
        <v>540806</v>
      </c>
      <c r="B2623" s="176" t="s">
        <v>2722</v>
      </c>
      <c r="C2623" s="200">
        <v>217373873</v>
      </c>
      <c r="D2623" s="178" t="s">
        <v>2508</v>
      </c>
      <c r="E2623" s="180">
        <v>44477</v>
      </c>
      <c r="F2623" s="192">
        <v>0</v>
      </c>
    </row>
    <row r="2624" spans="1:6" ht="24">
      <c r="A2624" s="190">
        <v>540806</v>
      </c>
      <c r="B2624" s="176" t="s">
        <v>2722</v>
      </c>
      <c r="C2624" s="200">
        <v>212076020</v>
      </c>
      <c r="D2624" s="178" t="s">
        <v>2509</v>
      </c>
      <c r="E2624" s="180">
        <v>109995</v>
      </c>
      <c r="F2624" s="192">
        <v>0</v>
      </c>
    </row>
    <row r="2625" spans="1:6" ht="24">
      <c r="A2625" s="190">
        <v>540806</v>
      </c>
      <c r="B2625" s="176" t="s">
        <v>2722</v>
      </c>
      <c r="C2625" s="200">
        <v>213676036</v>
      </c>
      <c r="D2625" s="178" t="s">
        <v>2510</v>
      </c>
      <c r="E2625" s="180">
        <v>137933</v>
      </c>
      <c r="F2625" s="192">
        <v>0</v>
      </c>
    </row>
    <row r="2626" spans="1:6" ht="24">
      <c r="A2626" s="190">
        <v>540806</v>
      </c>
      <c r="B2626" s="176" t="s">
        <v>2722</v>
      </c>
      <c r="C2626" s="200">
        <v>214176041</v>
      </c>
      <c r="D2626" s="178" t="s">
        <v>2511</v>
      </c>
      <c r="E2626" s="180">
        <v>125104</v>
      </c>
      <c r="F2626" s="192">
        <v>0</v>
      </c>
    </row>
    <row r="2627" spans="1:6" ht="24">
      <c r="A2627" s="190">
        <v>540806</v>
      </c>
      <c r="B2627" s="176" t="s">
        <v>2722</v>
      </c>
      <c r="C2627" s="200">
        <v>215476054</v>
      </c>
      <c r="D2627" s="178" t="s">
        <v>1114</v>
      </c>
      <c r="E2627" s="180">
        <v>44899</v>
      </c>
      <c r="F2627" s="192">
        <v>0</v>
      </c>
    </row>
    <row r="2628" spans="1:6" ht="24">
      <c r="A2628" s="190">
        <v>540806</v>
      </c>
      <c r="B2628" s="176" t="s">
        <v>2722</v>
      </c>
      <c r="C2628" s="200">
        <v>210076100</v>
      </c>
      <c r="D2628" s="178" t="s">
        <v>994</v>
      </c>
      <c r="E2628" s="180">
        <v>117714</v>
      </c>
      <c r="F2628" s="192">
        <v>0</v>
      </c>
    </row>
    <row r="2629" spans="1:6" ht="24">
      <c r="A2629" s="190">
        <v>540806</v>
      </c>
      <c r="B2629" s="176" t="s">
        <v>2722</v>
      </c>
      <c r="C2629" s="200">
        <v>211376113</v>
      </c>
      <c r="D2629" s="178" t="s">
        <v>2512</v>
      </c>
      <c r="E2629" s="180">
        <v>91725</v>
      </c>
      <c r="F2629" s="192">
        <v>0</v>
      </c>
    </row>
    <row r="2630" spans="1:6" ht="24">
      <c r="A2630" s="190">
        <v>540806</v>
      </c>
      <c r="B2630" s="176" t="s">
        <v>2722</v>
      </c>
      <c r="C2630" s="200">
        <v>212276122</v>
      </c>
      <c r="D2630" s="178" t="s">
        <v>2513</v>
      </c>
      <c r="E2630" s="180">
        <v>210838</v>
      </c>
      <c r="F2630" s="192">
        <v>0</v>
      </c>
    </row>
    <row r="2631" spans="1:6" ht="24">
      <c r="A2631" s="190">
        <v>540806</v>
      </c>
      <c r="B2631" s="176" t="s">
        <v>2722</v>
      </c>
      <c r="C2631" s="200">
        <v>212676126</v>
      </c>
      <c r="D2631" s="178" t="s">
        <v>2514</v>
      </c>
      <c r="E2631" s="180">
        <v>118650</v>
      </c>
      <c r="F2631" s="192">
        <v>0</v>
      </c>
    </row>
    <row r="2632" spans="1:6" ht="24">
      <c r="A2632" s="190">
        <v>540806</v>
      </c>
      <c r="B2632" s="176" t="s">
        <v>2722</v>
      </c>
      <c r="C2632" s="200">
        <v>213076130</v>
      </c>
      <c r="D2632" s="178" t="s">
        <v>1320</v>
      </c>
      <c r="E2632" s="180">
        <v>413227</v>
      </c>
      <c r="F2632" s="192">
        <v>0</v>
      </c>
    </row>
    <row r="2633" spans="1:6" ht="24">
      <c r="A2633" s="190">
        <v>540806</v>
      </c>
      <c r="B2633" s="176" t="s">
        <v>2722</v>
      </c>
      <c r="C2633" s="200">
        <v>213376233</v>
      </c>
      <c r="D2633" s="178" t="s">
        <v>2515</v>
      </c>
      <c r="E2633" s="180">
        <v>232521</v>
      </c>
      <c r="F2633" s="192">
        <v>0</v>
      </c>
    </row>
    <row r="2634" spans="1:6" ht="24">
      <c r="A2634" s="190">
        <v>540806</v>
      </c>
      <c r="B2634" s="176" t="s">
        <v>2722</v>
      </c>
      <c r="C2634" s="200">
        <v>214376243</v>
      </c>
      <c r="D2634" s="178" t="s">
        <v>2516</v>
      </c>
      <c r="E2634" s="180">
        <v>70059</v>
      </c>
      <c r="F2634" s="192">
        <v>0</v>
      </c>
    </row>
    <row r="2635" spans="1:6" ht="24">
      <c r="A2635" s="190">
        <v>540806</v>
      </c>
      <c r="B2635" s="176" t="s">
        <v>2722</v>
      </c>
      <c r="C2635" s="200">
        <v>214676246</v>
      </c>
      <c r="D2635" s="178" t="s">
        <v>2517</v>
      </c>
      <c r="E2635" s="180">
        <v>58131</v>
      </c>
      <c r="F2635" s="192">
        <v>0</v>
      </c>
    </row>
    <row r="2636" spans="1:6" ht="24">
      <c r="A2636" s="190">
        <v>540806</v>
      </c>
      <c r="B2636" s="176" t="s">
        <v>2722</v>
      </c>
      <c r="C2636" s="200">
        <v>214876248</v>
      </c>
      <c r="D2636" s="178" t="s">
        <v>2518</v>
      </c>
      <c r="E2636" s="180">
        <v>303993</v>
      </c>
      <c r="F2636" s="192">
        <v>0</v>
      </c>
    </row>
    <row r="2637" spans="1:6" ht="24">
      <c r="A2637" s="190">
        <v>540806</v>
      </c>
      <c r="B2637" s="176" t="s">
        <v>2722</v>
      </c>
      <c r="C2637" s="200">
        <v>215076250</v>
      </c>
      <c r="D2637" s="178" t="s">
        <v>2519</v>
      </c>
      <c r="E2637" s="180">
        <v>110389</v>
      </c>
      <c r="F2637" s="192">
        <v>0</v>
      </c>
    </row>
    <row r="2638" spans="1:6" ht="24">
      <c r="A2638" s="190">
        <v>540806</v>
      </c>
      <c r="B2638" s="176" t="s">
        <v>2722</v>
      </c>
      <c r="C2638" s="200">
        <v>217576275</v>
      </c>
      <c r="D2638" s="178" t="s">
        <v>2520</v>
      </c>
      <c r="E2638" s="180">
        <v>371546</v>
      </c>
      <c r="F2638" s="192">
        <v>0</v>
      </c>
    </row>
    <row r="2639" spans="1:6" ht="24">
      <c r="A2639" s="190">
        <v>540806</v>
      </c>
      <c r="B2639" s="176" t="s">
        <v>2722</v>
      </c>
      <c r="C2639" s="200">
        <v>210676306</v>
      </c>
      <c r="D2639" s="178" t="s">
        <v>2521</v>
      </c>
      <c r="E2639" s="180">
        <v>119439</v>
      </c>
      <c r="F2639" s="192">
        <v>0</v>
      </c>
    </row>
    <row r="2640" spans="1:6" ht="24">
      <c r="A2640" s="190">
        <v>540806</v>
      </c>
      <c r="B2640" s="176" t="s">
        <v>2722</v>
      </c>
      <c r="C2640" s="200">
        <v>211876318</v>
      </c>
      <c r="D2640" s="178" t="s">
        <v>2522</v>
      </c>
      <c r="E2640" s="180">
        <v>206174</v>
      </c>
      <c r="F2640" s="192">
        <v>0</v>
      </c>
    </row>
    <row r="2641" spans="1:6" ht="24">
      <c r="A2641" s="190">
        <v>540806</v>
      </c>
      <c r="B2641" s="176" t="s">
        <v>2722</v>
      </c>
      <c r="C2641" s="200">
        <v>216476364</v>
      </c>
      <c r="D2641" s="178" t="s">
        <v>2523</v>
      </c>
      <c r="E2641" s="180">
        <v>464845</v>
      </c>
      <c r="F2641" s="192">
        <v>0</v>
      </c>
    </row>
    <row r="2642" spans="1:6" ht="24">
      <c r="A2642" s="190">
        <v>540806</v>
      </c>
      <c r="B2642" s="176" t="s">
        <v>2722</v>
      </c>
      <c r="C2642" s="200">
        <v>217776377</v>
      </c>
      <c r="D2642" s="178" t="s">
        <v>2524</v>
      </c>
      <c r="E2642" s="180">
        <v>81864</v>
      </c>
      <c r="F2642" s="192">
        <v>0</v>
      </c>
    </row>
    <row r="2643" spans="1:6" ht="24">
      <c r="A2643" s="190">
        <v>540806</v>
      </c>
      <c r="B2643" s="176" t="s">
        <v>2722</v>
      </c>
      <c r="C2643" s="200">
        <v>210076400</v>
      </c>
      <c r="D2643" s="178" t="s">
        <v>1202</v>
      </c>
      <c r="E2643" s="180">
        <v>218892</v>
      </c>
      <c r="F2643" s="192">
        <v>0</v>
      </c>
    </row>
    <row r="2644" spans="1:6" ht="24">
      <c r="A2644" s="190">
        <v>540806</v>
      </c>
      <c r="B2644" s="176" t="s">
        <v>2722</v>
      </c>
      <c r="C2644" s="200">
        <v>210376403</v>
      </c>
      <c r="D2644" s="178" t="s">
        <v>1515</v>
      </c>
      <c r="E2644" s="180">
        <v>106996</v>
      </c>
      <c r="F2644" s="192">
        <v>0</v>
      </c>
    </row>
    <row r="2645" spans="1:6" ht="24">
      <c r="A2645" s="190">
        <v>540806</v>
      </c>
      <c r="B2645" s="176" t="s">
        <v>2722</v>
      </c>
      <c r="C2645" s="200">
        <v>219776497</v>
      </c>
      <c r="D2645" s="178" t="s">
        <v>2525</v>
      </c>
      <c r="E2645" s="180">
        <v>100913</v>
      </c>
      <c r="F2645" s="192">
        <v>0</v>
      </c>
    </row>
    <row r="2646" spans="1:6" ht="24">
      <c r="A2646" s="190">
        <v>540806</v>
      </c>
      <c r="B2646" s="176" t="s">
        <v>2722</v>
      </c>
      <c r="C2646" s="200">
        <v>216376563</v>
      </c>
      <c r="D2646" s="178" t="s">
        <v>2526</v>
      </c>
      <c r="E2646" s="180">
        <v>357503</v>
      </c>
      <c r="F2646" s="192">
        <v>0</v>
      </c>
    </row>
    <row r="2647" spans="1:6" ht="24">
      <c r="A2647" s="190">
        <v>540806</v>
      </c>
      <c r="B2647" s="176" t="s">
        <v>2722</v>
      </c>
      <c r="C2647" s="200">
        <v>210676606</v>
      </c>
      <c r="D2647" s="178" t="s">
        <v>2191</v>
      </c>
      <c r="E2647" s="180">
        <v>122347</v>
      </c>
      <c r="F2647" s="192">
        <v>0</v>
      </c>
    </row>
    <row r="2648" spans="1:6" ht="24">
      <c r="A2648" s="190">
        <v>540806</v>
      </c>
      <c r="B2648" s="176" t="s">
        <v>2722</v>
      </c>
      <c r="C2648" s="200">
        <v>211676616</v>
      </c>
      <c r="D2648" s="178" t="s">
        <v>2527</v>
      </c>
      <c r="E2648" s="180">
        <v>131704</v>
      </c>
      <c r="F2648" s="192">
        <v>0</v>
      </c>
    </row>
    <row r="2649" spans="1:6" ht="24">
      <c r="A2649" s="190">
        <v>540806</v>
      </c>
      <c r="B2649" s="176" t="s">
        <v>2722</v>
      </c>
      <c r="C2649" s="200">
        <v>212276622</v>
      </c>
      <c r="D2649" s="178" t="s">
        <v>2528</v>
      </c>
      <c r="E2649" s="180">
        <v>256371</v>
      </c>
      <c r="F2649" s="192">
        <v>0</v>
      </c>
    </row>
    <row r="2650" spans="1:6" ht="24">
      <c r="A2650" s="190">
        <v>540806</v>
      </c>
      <c r="B2650" s="176" t="s">
        <v>2722</v>
      </c>
      <c r="C2650" s="200">
        <v>217076670</v>
      </c>
      <c r="D2650" s="178" t="s">
        <v>1259</v>
      </c>
      <c r="E2650" s="180">
        <v>116288</v>
      </c>
      <c r="F2650" s="192">
        <v>0</v>
      </c>
    </row>
    <row r="2651" spans="1:6" ht="24">
      <c r="A2651" s="190">
        <v>540806</v>
      </c>
      <c r="B2651" s="176" t="s">
        <v>2722</v>
      </c>
      <c r="C2651" s="200">
        <v>213676736</v>
      </c>
      <c r="D2651" s="178" t="s">
        <v>2529</v>
      </c>
      <c r="E2651" s="180">
        <v>324793</v>
      </c>
      <c r="F2651" s="192">
        <v>0</v>
      </c>
    </row>
    <row r="2652" spans="1:6" ht="24">
      <c r="A2652" s="190">
        <v>540806</v>
      </c>
      <c r="B2652" s="176" t="s">
        <v>2722</v>
      </c>
      <c r="C2652" s="200">
        <v>212376823</v>
      </c>
      <c r="D2652" s="178" t="s">
        <v>2530</v>
      </c>
      <c r="E2652" s="180">
        <v>127643</v>
      </c>
      <c r="F2652" s="192">
        <v>0</v>
      </c>
    </row>
    <row r="2653" spans="1:6" ht="24">
      <c r="A2653" s="190">
        <v>540806</v>
      </c>
      <c r="B2653" s="176" t="s">
        <v>2722</v>
      </c>
      <c r="C2653" s="200">
        <v>212876828</v>
      </c>
      <c r="D2653" s="178" t="s">
        <v>2531</v>
      </c>
      <c r="E2653" s="180">
        <v>133212</v>
      </c>
      <c r="F2653" s="192">
        <v>0</v>
      </c>
    </row>
    <row r="2654" spans="1:6" ht="24">
      <c r="A2654" s="190">
        <v>540806</v>
      </c>
      <c r="B2654" s="176" t="s">
        <v>2722</v>
      </c>
      <c r="C2654" s="200">
        <v>214576845</v>
      </c>
      <c r="D2654" s="178" t="s">
        <v>2532</v>
      </c>
      <c r="E2654" s="180">
        <v>36266</v>
      </c>
      <c r="F2654" s="192">
        <v>0</v>
      </c>
    </row>
    <row r="2655" spans="1:6" ht="24">
      <c r="A2655" s="190">
        <v>540806</v>
      </c>
      <c r="B2655" s="176" t="s">
        <v>2722</v>
      </c>
      <c r="C2655" s="200">
        <v>216376863</v>
      </c>
      <c r="D2655" s="178" t="s">
        <v>2533</v>
      </c>
      <c r="E2655" s="180">
        <v>57162</v>
      </c>
      <c r="F2655" s="192">
        <v>0</v>
      </c>
    </row>
    <row r="2656" spans="1:6" ht="24">
      <c r="A2656" s="190">
        <v>540806</v>
      </c>
      <c r="B2656" s="176" t="s">
        <v>2722</v>
      </c>
      <c r="C2656" s="200">
        <v>216976869</v>
      </c>
      <c r="D2656" s="178" t="s">
        <v>2534</v>
      </c>
      <c r="E2656" s="180">
        <v>46329</v>
      </c>
      <c r="F2656" s="192">
        <v>0</v>
      </c>
    </row>
    <row r="2657" spans="1:6" ht="24">
      <c r="A2657" s="190">
        <v>540806</v>
      </c>
      <c r="B2657" s="176" t="s">
        <v>2722</v>
      </c>
      <c r="C2657" s="200">
        <v>219076890</v>
      </c>
      <c r="D2657" s="178" t="s">
        <v>2535</v>
      </c>
      <c r="E2657" s="180">
        <v>127794</v>
      </c>
      <c r="F2657" s="192">
        <v>0</v>
      </c>
    </row>
    <row r="2658" spans="1:6" ht="24">
      <c r="A2658" s="190">
        <v>540806</v>
      </c>
      <c r="B2658" s="176" t="s">
        <v>2722</v>
      </c>
      <c r="C2658" s="200">
        <v>219276892</v>
      </c>
      <c r="D2658" s="178" t="s">
        <v>2536</v>
      </c>
      <c r="E2658" s="180">
        <v>660250</v>
      </c>
      <c r="F2658" s="192">
        <v>0</v>
      </c>
    </row>
    <row r="2659" spans="1:6" ht="24">
      <c r="A2659" s="190">
        <v>540806</v>
      </c>
      <c r="B2659" s="176" t="s">
        <v>2722</v>
      </c>
      <c r="C2659" s="200">
        <v>219576895</v>
      </c>
      <c r="D2659" s="178" t="s">
        <v>2537</v>
      </c>
      <c r="E2659" s="180">
        <v>275410</v>
      </c>
      <c r="F2659" s="192">
        <v>0</v>
      </c>
    </row>
    <row r="2660" spans="1:6" ht="24">
      <c r="A2660" s="190">
        <v>540806</v>
      </c>
      <c r="B2660" s="176" t="s">
        <v>2722</v>
      </c>
      <c r="C2660" s="200">
        <v>210181001</v>
      </c>
      <c r="D2660" s="178" t="s">
        <v>1014</v>
      </c>
      <c r="E2660" s="180">
        <v>489433</v>
      </c>
      <c r="F2660" s="192">
        <v>0</v>
      </c>
    </row>
    <row r="2661" spans="1:6" ht="24">
      <c r="A2661" s="190">
        <v>540806</v>
      </c>
      <c r="B2661" s="176" t="s">
        <v>2722</v>
      </c>
      <c r="C2661" s="200">
        <v>216581065</v>
      </c>
      <c r="D2661" s="178" t="s">
        <v>2538</v>
      </c>
      <c r="E2661" s="180">
        <v>340787</v>
      </c>
      <c r="F2661" s="192">
        <v>0</v>
      </c>
    </row>
    <row r="2662" spans="1:6" ht="24">
      <c r="A2662" s="190">
        <v>540806</v>
      </c>
      <c r="B2662" s="176" t="s">
        <v>2722</v>
      </c>
      <c r="C2662" s="200">
        <v>212081220</v>
      </c>
      <c r="D2662" s="178" t="s">
        <v>2539</v>
      </c>
      <c r="E2662" s="180">
        <v>29139</v>
      </c>
      <c r="F2662" s="192">
        <v>0</v>
      </c>
    </row>
    <row r="2663" spans="1:6" ht="24">
      <c r="A2663" s="190">
        <v>540806</v>
      </c>
      <c r="B2663" s="176" t="s">
        <v>2722</v>
      </c>
      <c r="C2663" s="200">
        <v>210081300</v>
      </c>
      <c r="D2663" s="178" t="s">
        <v>2540</v>
      </c>
      <c r="E2663" s="180">
        <v>194561</v>
      </c>
      <c r="F2663" s="192">
        <v>0</v>
      </c>
    </row>
    <row r="2664" spans="1:6" ht="24">
      <c r="A2664" s="190">
        <v>540806</v>
      </c>
      <c r="B2664" s="176" t="s">
        <v>2722</v>
      </c>
      <c r="C2664" s="200">
        <v>219181591</v>
      </c>
      <c r="D2664" s="178" t="s">
        <v>2541</v>
      </c>
      <c r="E2664" s="180">
        <v>33885</v>
      </c>
      <c r="F2664" s="192">
        <v>0</v>
      </c>
    </row>
    <row r="2665" spans="1:6" ht="24">
      <c r="A2665" s="190">
        <v>540806</v>
      </c>
      <c r="B2665" s="176" t="s">
        <v>2722</v>
      </c>
      <c r="C2665" s="200">
        <v>213681736</v>
      </c>
      <c r="D2665" s="178" t="s">
        <v>2542</v>
      </c>
      <c r="E2665" s="180">
        <v>395123</v>
      </c>
      <c r="F2665" s="192">
        <v>0</v>
      </c>
    </row>
    <row r="2666" spans="1:6" ht="24">
      <c r="A2666" s="190">
        <v>540806</v>
      </c>
      <c r="B2666" s="176" t="s">
        <v>2722</v>
      </c>
      <c r="C2666" s="200">
        <v>219481794</v>
      </c>
      <c r="D2666" s="178" t="s">
        <v>2543</v>
      </c>
      <c r="E2666" s="180">
        <v>421768</v>
      </c>
      <c r="F2666" s="192">
        <v>0</v>
      </c>
    </row>
    <row r="2667" spans="1:6" ht="24">
      <c r="A2667" s="190">
        <v>540806</v>
      </c>
      <c r="B2667" s="176" t="s">
        <v>2722</v>
      </c>
      <c r="C2667" s="200">
        <v>210185001</v>
      </c>
      <c r="D2667" s="178" t="s">
        <v>2544</v>
      </c>
      <c r="E2667" s="180">
        <v>818324</v>
      </c>
      <c r="F2667" s="192">
        <v>0</v>
      </c>
    </row>
    <row r="2668" spans="1:6" ht="24">
      <c r="A2668" s="190">
        <v>540806</v>
      </c>
      <c r="B2668" s="176" t="s">
        <v>2722</v>
      </c>
      <c r="C2668" s="200">
        <v>211085010</v>
      </c>
      <c r="D2668" s="178" t="s">
        <v>2545</v>
      </c>
      <c r="E2668" s="180">
        <v>257599</v>
      </c>
      <c r="F2668" s="192">
        <v>0</v>
      </c>
    </row>
    <row r="2669" spans="1:6" ht="24">
      <c r="A2669" s="190">
        <v>540806</v>
      </c>
      <c r="B2669" s="176" t="s">
        <v>2722</v>
      </c>
      <c r="C2669" s="200">
        <v>211585015</v>
      </c>
      <c r="D2669" s="178" t="s">
        <v>2546</v>
      </c>
      <c r="E2669" s="180">
        <v>14139</v>
      </c>
      <c r="F2669" s="192">
        <v>0</v>
      </c>
    </row>
    <row r="2670" spans="1:6" ht="24">
      <c r="A2670" s="190">
        <v>540806</v>
      </c>
      <c r="B2670" s="176" t="s">
        <v>2722</v>
      </c>
      <c r="C2670" s="200">
        <v>212585125</v>
      </c>
      <c r="D2670" s="178" t="s">
        <v>2547</v>
      </c>
      <c r="E2670" s="180">
        <v>106290</v>
      </c>
      <c r="F2670" s="192">
        <v>0</v>
      </c>
    </row>
    <row r="2671" spans="1:6" ht="24">
      <c r="A2671" s="190">
        <v>540806</v>
      </c>
      <c r="B2671" s="176" t="s">
        <v>2722</v>
      </c>
      <c r="C2671" s="200">
        <v>213685136</v>
      </c>
      <c r="D2671" s="178" t="s">
        <v>2548</v>
      </c>
      <c r="E2671" s="180">
        <v>14094</v>
      </c>
      <c r="F2671" s="192">
        <v>0</v>
      </c>
    </row>
    <row r="2672" spans="1:6" ht="24">
      <c r="A2672" s="190">
        <v>540806</v>
      </c>
      <c r="B2672" s="176" t="s">
        <v>2722</v>
      </c>
      <c r="C2672" s="200">
        <v>213985139</v>
      </c>
      <c r="D2672" s="178" t="s">
        <v>2549</v>
      </c>
      <c r="E2672" s="180">
        <v>93137</v>
      </c>
      <c r="F2672" s="192">
        <v>0</v>
      </c>
    </row>
    <row r="2673" spans="1:6" ht="24">
      <c r="A2673" s="190">
        <v>540806</v>
      </c>
      <c r="B2673" s="176" t="s">
        <v>2722</v>
      </c>
      <c r="C2673" s="200">
        <v>216285162</v>
      </c>
      <c r="D2673" s="178" t="s">
        <v>2550</v>
      </c>
      <c r="E2673" s="180">
        <v>112024</v>
      </c>
      <c r="F2673" s="192">
        <v>0</v>
      </c>
    </row>
    <row r="2674" spans="1:6" ht="24">
      <c r="A2674" s="190">
        <v>540806</v>
      </c>
      <c r="B2674" s="176" t="s">
        <v>2722</v>
      </c>
      <c r="C2674" s="200">
        <v>212585225</v>
      </c>
      <c r="D2674" s="178" t="s">
        <v>2551</v>
      </c>
      <c r="E2674" s="180">
        <v>94128</v>
      </c>
      <c r="F2674" s="192">
        <v>0</v>
      </c>
    </row>
    <row r="2675" spans="1:6" ht="24">
      <c r="A2675" s="190">
        <v>540806</v>
      </c>
      <c r="B2675" s="176" t="s">
        <v>2722</v>
      </c>
      <c r="C2675" s="200">
        <v>213085230</v>
      </c>
      <c r="D2675" s="178" t="s">
        <v>2552</v>
      </c>
      <c r="E2675" s="180">
        <v>82838</v>
      </c>
      <c r="F2675" s="192">
        <v>0</v>
      </c>
    </row>
    <row r="2676" spans="1:6" ht="24">
      <c r="A2676" s="190">
        <v>540806</v>
      </c>
      <c r="B2676" s="176" t="s">
        <v>2722</v>
      </c>
      <c r="C2676" s="200">
        <v>215085250</v>
      </c>
      <c r="D2676" s="178" t="s">
        <v>2553</v>
      </c>
      <c r="E2676" s="180">
        <v>240700</v>
      </c>
      <c r="F2676" s="192">
        <v>0</v>
      </c>
    </row>
    <row r="2677" spans="1:6" ht="24">
      <c r="A2677" s="190">
        <v>540806</v>
      </c>
      <c r="B2677" s="176" t="s">
        <v>2722</v>
      </c>
      <c r="C2677" s="200">
        <v>216385263</v>
      </c>
      <c r="D2677" s="178" t="s">
        <v>2554</v>
      </c>
      <c r="E2677" s="180">
        <v>64165</v>
      </c>
      <c r="F2677" s="192">
        <v>0</v>
      </c>
    </row>
    <row r="2678" spans="1:6" ht="24">
      <c r="A2678" s="190">
        <v>540806</v>
      </c>
      <c r="B2678" s="176" t="s">
        <v>2722</v>
      </c>
      <c r="C2678" s="200">
        <v>217985279</v>
      </c>
      <c r="D2678" s="178" t="s">
        <v>2555</v>
      </c>
      <c r="E2678" s="180">
        <v>12505</v>
      </c>
      <c r="F2678" s="192">
        <v>0</v>
      </c>
    </row>
    <row r="2679" spans="1:6" ht="24">
      <c r="A2679" s="190">
        <v>540806</v>
      </c>
      <c r="B2679" s="176" t="s">
        <v>2722</v>
      </c>
      <c r="C2679" s="200">
        <v>210085300</v>
      </c>
      <c r="D2679" s="178" t="s">
        <v>1241</v>
      </c>
      <c r="E2679" s="180">
        <v>32337</v>
      </c>
      <c r="F2679" s="192">
        <v>0</v>
      </c>
    </row>
    <row r="2680" spans="1:6" ht="24">
      <c r="A2680" s="190">
        <v>540806</v>
      </c>
      <c r="B2680" s="176" t="s">
        <v>2722</v>
      </c>
      <c r="C2680" s="200">
        <v>211585315</v>
      </c>
      <c r="D2680" s="178" t="s">
        <v>2556</v>
      </c>
      <c r="E2680" s="180">
        <v>15906</v>
      </c>
      <c r="F2680" s="192">
        <v>0</v>
      </c>
    </row>
    <row r="2681" spans="1:6" ht="24">
      <c r="A2681" s="190">
        <v>540806</v>
      </c>
      <c r="B2681" s="176" t="s">
        <v>2722</v>
      </c>
      <c r="C2681" s="200">
        <v>212585325</v>
      </c>
      <c r="D2681" s="178" t="s">
        <v>2557</v>
      </c>
      <c r="E2681" s="180">
        <v>51380</v>
      </c>
      <c r="F2681" s="192">
        <v>0</v>
      </c>
    </row>
    <row r="2682" spans="1:6" ht="24">
      <c r="A2682" s="190">
        <v>540806</v>
      </c>
      <c r="B2682" s="176" t="s">
        <v>2722</v>
      </c>
      <c r="C2682" s="200">
        <v>210085400</v>
      </c>
      <c r="D2682" s="178" t="s">
        <v>2558</v>
      </c>
      <c r="E2682" s="180">
        <v>90365</v>
      </c>
      <c r="F2682" s="192">
        <v>0</v>
      </c>
    </row>
    <row r="2683" spans="1:6" ht="24">
      <c r="A2683" s="190">
        <v>540806</v>
      </c>
      <c r="B2683" s="176" t="s">
        <v>2722</v>
      </c>
      <c r="C2683" s="200">
        <v>211085410</v>
      </c>
      <c r="D2683" s="178" t="s">
        <v>2559</v>
      </c>
      <c r="E2683" s="180">
        <v>138282</v>
      </c>
      <c r="F2683" s="192">
        <v>0</v>
      </c>
    </row>
    <row r="2684" spans="1:6" ht="24">
      <c r="A2684" s="190">
        <v>540806</v>
      </c>
      <c r="B2684" s="176" t="s">
        <v>2722</v>
      </c>
      <c r="C2684" s="200">
        <v>213085430</v>
      </c>
      <c r="D2684" s="178" t="s">
        <v>2560</v>
      </c>
      <c r="E2684" s="180">
        <v>105521</v>
      </c>
      <c r="F2684" s="192">
        <v>0</v>
      </c>
    </row>
    <row r="2685" spans="1:6" ht="24">
      <c r="A2685" s="190">
        <v>540806</v>
      </c>
      <c r="B2685" s="176" t="s">
        <v>2722</v>
      </c>
      <c r="C2685" s="200">
        <v>214085440</v>
      </c>
      <c r="D2685" s="178" t="s">
        <v>1427</v>
      </c>
      <c r="E2685" s="180">
        <v>173885</v>
      </c>
      <c r="F2685" s="192">
        <v>0</v>
      </c>
    </row>
    <row r="2686" spans="1:6" ht="24">
      <c r="A2686" s="190">
        <v>540806</v>
      </c>
      <c r="B2686" s="176" t="s">
        <v>2722</v>
      </c>
      <c r="C2686" s="174">
        <v>210186001</v>
      </c>
      <c r="D2686" s="178" t="s">
        <v>2561</v>
      </c>
      <c r="E2686" s="180">
        <v>306571</v>
      </c>
      <c r="F2686" s="192">
        <v>0</v>
      </c>
    </row>
    <row r="2687" spans="1:6" ht="24">
      <c r="A2687" s="190">
        <v>540806</v>
      </c>
      <c r="B2687" s="176" t="s">
        <v>2722</v>
      </c>
      <c r="C2687" s="174">
        <v>211986219</v>
      </c>
      <c r="D2687" s="178" t="s">
        <v>2562</v>
      </c>
      <c r="E2687" s="180">
        <v>38604</v>
      </c>
      <c r="F2687" s="192">
        <v>0</v>
      </c>
    </row>
    <row r="2688" spans="1:6" ht="24">
      <c r="A2688" s="190">
        <v>540806</v>
      </c>
      <c r="B2688" s="176" t="s">
        <v>2722</v>
      </c>
      <c r="C2688" s="200">
        <v>212086320</v>
      </c>
      <c r="D2688" s="178" t="s">
        <v>2563</v>
      </c>
      <c r="E2688" s="180">
        <v>449342</v>
      </c>
      <c r="F2688" s="192">
        <v>0</v>
      </c>
    </row>
    <row r="2689" spans="1:6" ht="24">
      <c r="A2689" s="190">
        <v>540806</v>
      </c>
      <c r="B2689" s="176" t="s">
        <v>2722</v>
      </c>
      <c r="C2689" s="200">
        <v>216886568</v>
      </c>
      <c r="D2689" s="178" t="s">
        <v>2564</v>
      </c>
      <c r="E2689" s="180">
        <v>514505</v>
      </c>
      <c r="F2689" s="192">
        <v>0</v>
      </c>
    </row>
    <row r="2690" spans="1:6" ht="24">
      <c r="A2690" s="190">
        <v>540806</v>
      </c>
      <c r="B2690" s="176" t="s">
        <v>2722</v>
      </c>
      <c r="C2690" s="200">
        <v>216986569</v>
      </c>
      <c r="D2690" s="178" t="s">
        <v>2565</v>
      </c>
      <c r="E2690" s="180">
        <v>122826</v>
      </c>
      <c r="F2690" s="192">
        <v>0</v>
      </c>
    </row>
    <row r="2691" spans="1:6" ht="24">
      <c r="A2691" s="190">
        <v>540806</v>
      </c>
      <c r="B2691" s="176" t="s">
        <v>2722</v>
      </c>
      <c r="C2691" s="200">
        <v>217186571</v>
      </c>
      <c r="D2691" s="178" t="s">
        <v>2566</v>
      </c>
      <c r="E2691" s="180">
        <v>315832</v>
      </c>
      <c r="F2691" s="192">
        <v>0</v>
      </c>
    </row>
    <row r="2692" spans="1:6" ht="24">
      <c r="A2692" s="190">
        <v>540806</v>
      </c>
      <c r="B2692" s="176" t="s">
        <v>2722</v>
      </c>
      <c r="C2692" s="174">
        <v>217386573</v>
      </c>
      <c r="D2692" s="178" t="s">
        <v>2567</v>
      </c>
      <c r="E2692" s="180">
        <v>261677</v>
      </c>
      <c r="F2692" s="192">
        <v>0</v>
      </c>
    </row>
    <row r="2693" spans="1:6" ht="24">
      <c r="A2693" s="190">
        <v>540806</v>
      </c>
      <c r="B2693" s="176" t="s">
        <v>2722</v>
      </c>
      <c r="C2693" s="174">
        <v>214986749</v>
      </c>
      <c r="D2693" s="178" t="s">
        <v>2568</v>
      </c>
      <c r="E2693" s="180">
        <v>124262</v>
      </c>
      <c r="F2693" s="192">
        <v>0</v>
      </c>
    </row>
    <row r="2694" spans="1:6" ht="24">
      <c r="A2694" s="190">
        <v>540806</v>
      </c>
      <c r="B2694" s="176" t="s">
        <v>2722</v>
      </c>
      <c r="C2694" s="174">
        <v>215586755</v>
      </c>
      <c r="D2694" s="178" t="s">
        <v>1249</v>
      </c>
      <c r="E2694" s="180">
        <v>44095</v>
      </c>
      <c r="F2694" s="192">
        <v>0</v>
      </c>
    </row>
    <row r="2695" spans="1:6" ht="24">
      <c r="A2695" s="190">
        <v>540806</v>
      </c>
      <c r="B2695" s="176" t="s">
        <v>2722</v>
      </c>
      <c r="C2695" s="174">
        <v>215786757</v>
      </c>
      <c r="D2695" s="178" t="s">
        <v>2569</v>
      </c>
      <c r="E2695" s="180">
        <v>164135</v>
      </c>
      <c r="F2695" s="192">
        <v>0</v>
      </c>
    </row>
    <row r="2696" spans="1:6" ht="24">
      <c r="A2696" s="190">
        <v>540806</v>
      </c>
      <c r="B2696" s="176" t="s">
        <v>2722</v>
      </c>
      <c r="C2696" s="174">
        <v>216086760</v>
      </c>
      <c r="D2696" s="178" t="s">
        <v>2276</v>
      </c>
      <c r="E2696" s="180">
        <v>74001</v>
      </c>
      <c r="F2696" s="192">
        <v>0</v>
      </c>
    </row>
    <row r="2697" spans="1:6" ht="24">
      <c r="A2697" s="190">
        <v>540806</v>
      </c>
      <c r="B2697" s="176" t="s">
        <v>2722</v>
      </c>
      <c r="C2697" s="174">
        <v>216586865</v>
      </c>
      <c r="D2697" s="178" t="s">
        <v>2570</v>
      </c>
      <c r="E2697" s="180">
        <v>387615</v>
      </c>
      <c r="F2697" s="192">
        <v>0</v>
      </c>
    </row>
    <row r="2698" spans="1:6" ht="24">
      <c r="A2698" s="190">
        <v>540806</v>
      </c>
      <c r="B2698" s="176" t="s">
        <v>2722</v>
      </c>
      <c r="C2698" s="174">
        <v>218586885</v>
      </c>
      <c r="D2698" s="178" t="s">
        <v>2571</v>
      </c>
      <c r="E2698" s="180">
        <v>205924</v>
      </c>
      <c r="F2698" s="192">
        <v>0</v>
      </c>
    </row>
    <row r="2699" spans="1:6" ht="24">
      <c r="A2699" s="190">
        <v>540806</v>
      </c>
      <c r="B2699" s="176" t="s">
        <v>2722</v>
      </c>
      <c r="C2699" s="174" t="s">
        <v>2572</v>
      </c>
      <c r="D2699" s="178" t="s">
        <v>1017</v>
      </c>
      <c r="E2699" s="180">
        <v>342301</v>
      </c>
      <c r="F2699" s="192">
        <v>0</v>
      </c>
    </row>
    <row r="2700" spans="1:6" ht="24">
      <c r="A2700" s="190">
        <v>540806</v>
      </c>
      <c r="B2700" s="176" t="s">
        <v>2722</v>
      </c>
      <c r="C2700" s="174">
        <v>216488564</v>
      </c>
      <c r="D2700" s="178" t="s">
        <v>2573</v>
      </c>
      <c r="E2700" s="180">
        <v>32424</v>
      </c>
      <c r="F2700" s="192">
        <v>0</v>
      </c>
    </row>
    <row r="2701" spans="1:6" ht="24">
      <c r="A2701" s="190">
        <v>540806</v>
      </c>
      <c r="B2701" s="176" t="s">
        <v>2722</v>
      </c>
      <c r="C2701" s="200">
        <v>210191001</v>
      </c>
      <c r="D2701" s="178" t="s">
        <v>2574</v>
      </c>
      <c r="E2701" s="180">
        <v>787358</v>
      </c>
      <c r="F2701" s="192">
        <v>0</v>
      </c>
    </row>
    <row r="2702" spans="1:6" ht="24">
      <c r="A2702" s="190">
        <v>540806</v>
      </c>
      <c r="B2702" s="176" t="s">
        <v>2722</v>
      </c>
      <c r="C2702" s="200">
        <v>214091540</v>
      </c>
      <c r="D2702" s="178" t="s">
        <v>2575</v>
      </c>
      <c r="E2702" s="180">
        <v>92949</v>
      </c>
      <c r="F2702" s="192">
        <v>0</v>
      </c>
    </row>
    <row r="2703" spans="1:6" ht="24">
      <c r="A2703" s="190">
        <v>540806</v>
      </c>
      <c r="B2703" s="176" t="s">
        <v>2722</v>
      </c>
      <c r="C2703" s="174">
        <v>210194001</v>
      </c>
      <c r="D2703" s="178" t="s">
        <v>2576</v>
      </c>
      <c r="E2703" s="180">
        <v>393423</v>
      </c>
      <c r="F2703" s="192">
        <v>0</v>
      </c>
    </row>
    <row r="2704" spans="1:6" ht="24">
      <c r="A2704" s="190">
        <v>540806</v>
      </c>
      <c r="B2704" s="176" t="s">
        <v>2722</v>
      </c>
      <c r="C2704" s="174">
        <v>210195001</v>
      </c>
      <c r="D2704" s="178" t="s">
        <v>2577</v>
      </c>
      <c r="E2704" s="180">
        <v>508365</v>
      </c>
      <c r="F2704" s="192">
        <v>0</v>
      </c>
    </row>
    <row r="2705" spans="1:6" ht="24">
      <c r="A2705" s="190">
        <v>540806</v>
      </c>
      <c r="B2705" s="176" t="s">
        <v>2722</v>
      </c>
      <c r="C2705" s="200">
        <v>211595015</v>
      </c>
      <c r="D2705" s="178" t="s">
        <v>1366</v>
      </c>
      <c r="E2705" s="180">
        <v>74890</v>
      </c>
      <c r="F2705" s="192">
        <v>0</v>
      </c>
    </row>
    <row r="2706" spans="1:6" ht="24">
      <c r="A2706" s="190">
        <v>540806</v>
      </c>
      <c r="B2706" s="176" t="s">
        <v>2722</v>
      </c>
      <c r="C2706" s="174">
        <v>212595025</v>
      </c>
      <c r="D2706" s="178" t="s">
        <v>2578</v>
      </c>
      <c r="E2706" s="180">
        <v>183555</v>
      </c>
      <c r="F2706" s="192">
        <v>0</v>
      </c>
    </row>
    <row r="2707" spans="1:6" ht="24">
      <c r="A2707" s="190">
        <v>540806</v>
      </c>
      <c r="B2707" s="176" t="s">
        <v>2722</v>
      </c>
      <c r="C2707" s="174">
        <v>210095200</v>
      </c>
      <c r="D2707" s="178" t="s">
        <v>1525</v>
      </c>
      <c r="E2707" s="180">
        <v>65011</v>
      </c>
      <c r="F2707" s="192">
        <v>0</v>
      </c>
    </row>
    <row r="2708" spans="1:6" ht="24">
      <c r="A2708" s="190">
        <v>540806</v>
      </c>
      <c r="B2708" s="176" t="s">
        <v>2722</v>
      </c>
      <c r="C2708" s="200">
        <v>210197001</v>
      </c>
      <c r="D2708" s="178" t="s">
        <v>2579</v>
      </c>
      <c r="E2708" s="180">
        <v>327466</v>
      </c>
      <c r="F2708" s="192">
        <v>0</v>
      </c>
    </row>
    <row r="2709" spans="1:6" ht="24">
      <c r="A2709" s="190">
        <v>540806</v>
      </c>
      <c r="B2709" s="176" t="s">
        <v>2722</v>
      </c>
      <c r="C2709" s="200">
        <v>216197161</v>
      </c>
      <c r="D2709" s="178" t="s">
        <v>2580</v>
      </c>
      <c r="E2709" s="180">
        <v>37135</v>
      </c>
      <c r="F2709" s="192">
        <v>0</v>
      </c>
    </row>
    <row r="2710" spans="1:6" ht="24">
      <c r="A2710" s="190">
        <v>540806</v>
      </c>
      <c r="B2710" s="176" t="s">
        <v>2722</v>
      </c>
      <c r="C2710" s="200">
        <v>216697666</v>
      </c>
      <c r="D2710" s="178" t="s">
        <v>2581</v>
      </c>
      <c r="E2710" s="180">
        <v>15328</v>
      </c>
      <c r="F2710" s="192">
        <v>0</v>
      </c>
    </row>
    <row r="2711" spans="1:6" ht="24">
      <c r="A2711" s="190">
        <v>540806</v>
      </c>
      <c r="B2711" s="176" t="s">
        <v>2722</v>
      </c>
      <c r="C2711" s="200">
        <v>210199001</v>
      </c>
      <c r="D2711" s="178" t="s">
        <v>2582</v>
      </c>
      <c r="E2711" s="180">
        <v>98836</v>
      </c>
      <c r="F2711" s="192">
        <v>0</v>
      </c>
    </row>
    <row r="2712" spans="1:6" ht="24">
      <c r="A2712" s="190">
        <v>540806</v>
      </c>
      <c r="B2712" s="176" t="s">
        <v>2722</v>
      </c>
      <c r="C2712" s="200">
        <v>212499524</v>
      </c>
      <c r="D2712" s="178" t="s">
        <v>2583</v>
      </c>
      <c r="E2712" s="180">
        <v>98479</v>
      </c>
      <c r="F2712" s="192">
        <v>0</v>
      </c>
    </row>
    <row r="2713" spans="1:6" ht="24">
      <c r="A2713" s="190">
        <v>540806</v>
      </c>
      <c r="B2713" s="176" t="s">
        <v>2722</v>
      </c>
      <c r="C2713" s="200">
        <v>212499624</v>
      </c>
      <c r="D2713" s="178" t="s">
        <v>2584</v>
      </c>
      <c r="E2713" s="180">
        <v>41782</v>
      </c>
      <c r="F2713" s="192">
        <v>0</v>
      </c>
    </row>
    <row r="2714" spans="1:6" ht="24">
      <c r="A2714" s="190">
        <v>540806</v>
      </c>
      <c r="B2714" s="176" t="s">
        <v>2722</v>
      </c>
      <c r="C2714" s="200">
        <v>217399773</v>
      </c>
      <c r="D2714" s="178" t="s">
        <v>2585</v>
      </c>
      <c r="E2714" s="180">
        <v>419430</v>
      </c>
      <c r="F2714" s="192">
        <v>0</v>
      </c>
    </row>
    <row r="2715" spans="1:6" ht="12">
      <c r="A2715" s="190">
        <v>540812</v>
      </c>
      <c r="B2715" s="176" t="s">
        <v>2723</v>
      </c>
      <c r="C2715" s="200">
        <v>210111001</v>
      </c>
      <c r="D2715" s="181" t="s">
        <v>2760</v>
      </c>
      <c r="E2715" s="180">
        <v>434383205</v>
      </c>
      <c r="F2715" s="120">
        <v>0</v>
      </c>
    </row>
    <row r="2716" spans="1:6" ht="12">
      <c r="A2716" s="190">
        <v>540812</v>
      </c>
      <c r="B2716" s="176" t="s">
        <v>2723</v>
      </c>
      <c r="C2716" s="200">
        <v>210108001</v>
      </c>
      <c r="D2716" s="181" t="s">
        <v>1023</v>
      </c>
      <c r="E2716" s="180">
        <v>85119532</v>
      </c>
      <c r="F2716" s="120">
        <v>0</v>
      </c>
    </row>
    <row r="2717" spans="1:6" ht="12">
      <c r="A2717" s="190">
        <v>540812</v>
      </c>
      <c r="B2717" s="176" t="s">
        <v>2723</v>
      </c>
      <c r="C2717" s="200">
        <v>210113001</v>
      </c>
      <c r="D2717" s="181" t="s">
        <v>1024</v>
      </c>
      <c r="E2717" s="180">
        <v>83242668</v>
      </c>
      <c r="F2717" s="120">
        <v>0</v>
      </c>
    </row>
    <row r="2718" spans="1:6" ht="12">
      <c r="A2718" s="190">
        <v>540812</v>
      </c>
      <c r="B2718" s="176" t="s">
        <v>2723</v>
      </c>
      <c r="C2718" s="200">
        <v>210147001</v>
      </c>
      <c r="D2718" s="181" t="s">
        <v>2724</v>
      </c>
      <c r="E2718" s="180">
        <v>38521206</v>
      </c>
      <c r="F2718" s="120">
        <v>0</v>
      </c>
    </row>
    <row r="2719" spans="1:6" ht="12">
      <c r="A2719" s="190">
        <v>560205</v>
      </c>
      <c r="B2719" s="176" t="s">
        <v>2725</v>
      </c>
      <c r="C2719" s="202" t="s">
        <v>2664</v>
      </c>
      <c r="D2719" s="181" t="s">
        <v>2726</v>
      </c>
      <c r="E2719" s="121">
        <v>670001</v>
      </c>
      <c r="F2719" s="120">
        <v>0</v>
      </c>
    </row>
    <row r="2720" spans="1:6" ht="12">
      <c r="A2720" s="190">
        <v>560205</v>
      </c>
      <c r="B2720" s="176" t="s">
        <v>2725</v>
      </c>
      <c r="C2720" s="203" t="s">
        <v>2656</v>
      </c>
      <c r="D2720" s="181" t="s">
        <v>2727</v>
      </c>
      <c r="E2720" s="121">
        <v>2170300</v>
      </c>
      <c r="F2720" s="120">
        <v>0</v>
      </c>
    </row>
    <row r="2721" spans="1:6" ht="12">
      <c r="A2721" s="190">
        <v>560205</v>
      </c>
      <c r="B2721" s="176" t="s">
        <v>2725</v>
      </c>
      <c r="C2721" s="202" t="s">
        <v>2660</v>
      </c>
      <c r="D2721" s="181" t="s">
        <v>2728</v>
      </c>
      <c r="E2721" s="121">
        <v>3007344</v>
      </c>
      <c r="F2721" s="120">
        <v>0</v>
      </c>
    </row>
    <row r="2722" spans="1:6" ht="12">
      <c r="A2722" s="190">
        <v>560205</v>
      </c>
      <c r="B2722" s="176" t="s">
        <v>2725</v>
      </c>
      <c r="C2722" s="202" t="s">
        <v>2666</v>
      </c>
      <c r="D2722" s="181" t="s">
        <v>2729</v>
      </c>
      <c r="E2722" s="121">
        <v>1121069</v>
      </c>
      <c r="F2722" s="120">
        <v>0</v>
      </c>
    </row>
    <row r="2723" spans="1:6" ht="12">
      <c r="A2723" s="190">
        <v>560205</v>
      </c>
      <c r="B2723" s="176" t="s">
        <v>2725</v>
      </c>
      <c r="C2723" s="203" t="s">
        <v>2662</v>
      </c>
      <c r="D2723" s="181" t="s">
        <v>2730</v>
      </c>
      <c r="E2723" s="121">
        <v>509577</v>
      </c>
      <c r="F2723" s="120">
        <v>0</v>
      </c>
    </row>
    <row r="2724" spans="1:6" ht="12">
      <c r="A2724" s="190">
        <v>560205</v>
      </c>
      <c r="B2724" s="176" t="s">
        <v>2725</v>
      </c>
      <c r="C2724" s="205" t="s">
        <v>2647</v>
      </c>
      <c r="D2724" s="181" t="s">
        <v>2731</v>
      </c>
      <c r="E2724" s="121">
        <v>835412</v>
      </c>
      <c r="F2724" s="120">
        <v>0</v>
      </c>
    </row>
    <row r="2725" spans="1:6" ht="12">
      <c r="A2725" s="190">
        <v>560205</v>
      </c>
      <c r="B2725" s="176" t="s">
        <v>2725</v>
      </c>
      <c r="C2725" s="205" t="s">
        <v>2650</v>
      </c>
      <c r="D2725" s="181" t="s">
        <v>2732</v>
      </c>
      <c r="E2725" s="121">
        <v>1928041</v>
      </c>
      <c r="F2725" s="120">
        <v>0</v>
      </c>
    </row>
    <row r="2726" spans="1:6" ht="12">
      <c r="A2726" s="190">
        <v>560205</v>
      </c>
      <c r="B2726" s="176" t="s">
        <v>2725</v>
      </c>
      <c r="C2726" s="202" t="s">
        <v>2668</v>
      </c>
      <c r="D2726" s="181" t="s">
        <v>2733</v>
      </c>
      <c r="E2726" s="121">
        <v>593133</v>
      </c>
      <c r="F2726" s="120">
        <v>0</v>
      </c>
    </row>
    <row r="2727" spans="1:6" ht="12">
      <c r="A2727" s="190">
        <v>560205</v>
      </c>
      <c r="B2727" s="176" t="s">
        <v>2725</v>
      </c>
      <c r="C2727" s="205" t="s">
        <v>2652</v>
      </c>
      <c r="D2727" s="181" t="s">
        <v>2734</v>
      </c>
      <c r="E2727" s="121">
        <v>1395073</v>
      </c>
      <c r="F2727" s="120">
        <v>0</v>
      </c>
    </row>
    <row r="2728" spans="1:6" ht="12">
      <c r="A2728" s="190">
        <v>560205</v>
      </c>
      <c r="B2728" s="176" t="s">
        <v>2725</v>
      </c>
      <c r="C2728" s="202" t="s">
        <v>2654</v>
      </c>
      <c r="D2728" s="181" t="s">
        <v>2735</v>
      </c>
      <c r="E2728" s="121">
        <v>459455</v>
      </c>
      <c r="F2728" s="120">
        <v>0</v>
      </c>
    </row>
    <row r="2729" spans="1:6" ht="12">
      <c r="A2729" s="190">
        <v>560205</v>
      </c>
      <c r="B2729" s="176" t="s">
        <v>2725</v>
      </c>
      <c r="C2729" s="203" t="s">
        <v>981</v>
      </c>
      <c r="D2729" s="181" t="s">
        <v>982</v>
      </c>
      <c r="E2729" s="121">
        <v>2176983</v>
      </c>
      <c r="F2729" s="120">
        <v>0</v>
      </c>
    </row>
    <row r="2730" spans="1:6" ht="12">
      <c r="A2730" s="190">
        <v>560205</v>
      </c>
      <c r="B2730" s="176" t="s">
        <v>2725</v>
      </c>
      <c r="C2730" s="202" t="s">
        <v>983</v>
      </c>
      <c r="D2730" s="181" t="s">
        <v>2736</v>
      </c>
      <c r="E2730" s="121">
        <v>1475269</v>
      </c>
      <c r="F2730" s="120">
        <v>0</v>
      </c>
    </row>
    <row r="2731" spans="1:6" ht="12.75" thickBot="1">
      <c r="A2731" s="193">
        <v>572080</v>
      </c>
      <c r="B2731" s="194" t="s">
        <v>2737</v>
      </c>
      <c r="C2731" s="206" t="s">
        <v>986</v>
      </c>
      <c r="D2731" s="196" t="s">
        <v>987</v>
      </c>
      <c r="E2731" s="134">
        <v>0</v>
      </c>
      <c r="F2731" s="135">
        <v>26192534</v>
      </c>
    </row>
  </sheetData>
  <sheetProtection password="8D25" sheet="1" formatCells="0" formatColumns="0" formatRows="0" insertColumns="0" insertRows="0" insertHyperlinks="0" deleteColumns="0" deleteRows="0" sort="0" autoFilter="0" pivotTables="0"/>
  <mergeCells count="5">
    <mergeCell ref="C1:F1"/>
    <mergeCell ref="C8:C9"/>
    <mergeCell ref="D8:D9"/>
    <mergeCell ref="E8:E9"/>
    <mergeCell ref="F8:F9"/>
  </mergeCells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M883"/>
  <sheetViews>
    <sheetView workbookViewId="0" topLeftCell="A1">
      <selection activeCell="B888" sqref="B888"/>
    </sheetView>
  </sheetViews>
  <sheetFormatPr defaultColWidth="11.421875" defaultRowHeight="12.75"/>
  <cols>
    <col min="1" max="1" width="13.421875" style="36" customWidth="1"/>
    <col min="2" max="2" width="36.421875" style="26" customWidth="1"/>
    <col min="3" max="3" width="12.7109375" style="6" customWidth="1"/>
    <col min="4" max="4" width="15.28125" style="6" customWidth="1"/>
    <col min="5" max="5" width="14.421875" style="37" customWidth="1"/>
    <col min="6" max="6" width="13.7109375" style="38" customWidth="1"/>
    <col min="7" max="7" width="16.140625" style="36" customWidth="1"/>
    <col min="8" max="8" width="14.28125" style="36" customWidth="1"/>
    <col min="9" max="9" width="12.28125" style="6" bestFit="1" customWidth="1"/>
    <col min="10" max="10" width="11.421875" style="6" customWidth="1"/>
    <col min="11" max="11" width="12.28125" style="6" bestFit="1" customWidth="1"/>
    <col min="12" max="12" width="11.421875" style="6" customWidth="1"/>
    <col min="13" max="13" width="12.28125" style="6" bestFit="1" customWidth="1"/>
    <col min="14" max="16384" width="11.421875" style="6" customWidth="1"/>
  </cols>
  <sheetData>
    <row r="1" spans="1:8" ht="12">
      <c r="A1" s="90" t="s">
        <v>2756</v>
      </c>
      <c r="B1" s="136" t="s">
        <v>2757</v>
      </c>
      <c r="C1" s="92" t="s">
        <v>2758</v>
      </c>
      <c r="D1" s="92"/>
      <c r="E1" s="92"/>
      <c r="F1" s="93"/>
      <c r="G1" s="5"/>
      <c r="H1" s="5"/>
    </row>
    <row r="2" spans="1:8" ht="12">
      <c r="A2" s="90" t="s">
        <v>2759</v>
      </c>
      <c r="B2" s="136" t="s">
        <v>2760</v>
      </c>
      <c r="C2" s="91"/>
      <c r="D2" s="91"/>
      <c r="E2" s="91"/>
      <c r="F2" s="93"/>
      <c r="G2" s="5"/>
      <c r="H2" s="5"/>
    </row>
    <row r="3" spans="1:8" ht="12">
      <c r="A3" s="90" t="s">
        <v>2761</v>
      </c>
      <c r="B3" s="137" t="s">
        <v>2762</v>
      </c>
      <c r="C3" s="28"/>
      <c r="D3" s="28"/>
      <c r="E3" s="28"/>
      <c r="F3" s="94"/>
      <c r="G3" s="5"/>
      <c r="H3" s="5"/>
    </row>
    <row r="4" spans="1:8" ht="12">
      <c r="A4" s="95" t="s">
        <v>2763</v>
      </c>
      <c r="B4" s="138" t="s">
        <v>2764</v>
      </c>
      <c r="C4" s="96"/>
      <c r="D4" s="96"/>
      <c r="E4" s="96"/>
      <c r="F4" s="97"/>
      <c r="G4" s="5"/>
      <c r="H4" s="5"/>
    </row>
    <row r="5" spans="1:8" ht="24">
      <c r="A5" s="100" t="s">
        <v>2765</v>
      </c>
      <c r="B5" s="139">
        <v>38898</v>
      </c>
      <c r="C5" s="98"/>
      <c r="D5" s="98"/>
      <c r="E5" s="98"/>
      <c r="F5" s="99"/>
      <c r="G5" s="5"/>
      <c r="H5" s="5"/>
    </row>
    <row r="6" spans="1:8" ht="24">
      <c r="A6" s="100" t="s">
        <v>2766</v>
      </c>
      <c r="B6" s="101" t="s">
        <v>2767</v>
      </c>
      <c r="C6" s="101"/>
      <c r="D6" s="101"/>
      <c r="E6" s="101"/>
      <c r="F6" s="102"/>
      <c r="G6" s="19"/>
      <c r="H6" s="19"/>
    </row>
    <row r="7" spans="1:8" ht="12">
      <c r="A7" s="103"/>
      <c r="B7" s="140"/>
      <c r="C7" s="103"/>
      <c r="D7" s="103"/>
      <c r="E7" s="103"/>
      <c r="F7" s="104"/>
      <c r="G7" s="22" t="s">
        <v>2768</v>
      </c>
      <c r="H7" s="22"/>
    </row>
    <row r="8" spans="1:8" ht="12.75" thickBot="1">
      <c r="A8" s="36">
        <v>15.71</v>
      </c>
      <c r="B8" s="101">
        <v>60.14</v>
      </c>
      <c r="C8" s="105"/>
      <c r="D8" s="105"/>
      <c r="E8" s="105"/>
      <c r="F8" s="106"/>
      <c r="G8" s="5"/>
      <c r="H8" s="5"/>
    </row>
    <row r="9" spans="1:8" s="26" customFormat="1" ht="12">
      <c r="A9" s="110" t="s">
        <v>2769</v>
      </c>
      <c r="B9" s="141"/>
      <c r="C9" s="222" t="s">
        <v>2770</v>
      </c>
      <c r="D9" s="222" t="s">
        <v>2771</v>
      </c>
      <c r="E9" s="222" t="s">
        <v>2772</v>
      </c>
      <c r="F9" s="224" t="s">
        <v>2773</v>
      </c>
      <c r="G9" s="209" t="s">
        <v>2774</v>
      </c>
      <c r="H9" s="211" t="s">
        <v>2775</v>
      </c>
    </row>
    <row r="10" spans="1:8" s="26" customFormat="1" ht="24.75" thickBot="1">
      <c r="A10" s="111" t="s">
        <v>2776</v>
      </c>
      <c r="B10" s="107" t="s">
        <v>2777</v>
      </c>
      <c r="C10" s="223"/>
      <c r="D10" s="223"/>
      <c r="E10" s="223"/>
      <c r="F10" s="225"/>
      <c r="G10" s="210"/>
      <c r="H10" s="212"/>
    </row>
    <row r="11" spans="1:13" ht="12">
      <c r="A11" s="43">
        <v>100000</v>
      </c>
      <c r="B11" s="142" t="s">
        <v>2778</v>
      </c>
      <c r="C11" s="45">
        <f aca="true" t="shared" si="0" ref="C11:H11">C12+C23+C34+C76+C142</f>
        <v>800429906</v>
      </c>
      <c r="D11" s="45">
        <f t="shared" si="0"/>
        <v>987109355</v>
      </c>
      <c r="E11" s="45">
        <f t="shared" si="0"/>
        <v>921556222</v>
      </c>
      <c r="F11" s="45">
        <f t="shared" si="0"/>
        <v>865983039</v>
      </c>
      <c r="G11" s="45">
        <f t="shared" si="0"/>
        <v>719916696</v>
      </c>
      <c r="H11" s="46">
        <f t="shared" si="0"/>
        <v>146066343</v>
      </c>
      <c r="I11" s="37"/>
      <c r="K11" s="37"/>
      <c r="M11" s="37"/>
    </row>
    <row r="12" spans="1:13" ht="12">
      <c r="A12" s="47">
        <v>110000</v>
      </c>
      <c r="B12" s="143" t="s">
        <v>2779</v>
      </c>
      <c r="C12" s="49">
        <f aca="true" t="shared" si="1" ref="C12:H12">C13+C16+C20</f>
        <v>23425545</v>
      </c>
      <c r="D12" s="49">
        <f t="shared" si="1"/>
        <v>515866009</v>
      </c>
      <c r="E12" s="49">
        <f t="shared" si="1"/>
        <v>502149295</v>
      </c>
      <c r="F12" s="49">
        <f t="shared" si="1"/>
        <v>37142259</v>
      </c>
      <c r="G12" s="49">
        <f t="shared" si="1"/>
        <v>37142259</v>
      </c>
      <c r="H12" s="50">
        <f t="shared" si="1"/>
        <v>0</v>
      </c>
      <c r="I12" s="37"/>
      <c r="K12" s="37"/>
      <c r="M12" s="37"/>
    </row>
    <row r="13" spans="1:13" ht="12">
      <c r="A13" s="47">
        <v>110500</v>
      </c>
      <c r="B13" s="143" t="s">
        <v>2780</v>
      </c>
      <c r="C13" s="49">
        <f>SUM(C14:C15)</f>
        <v>48539</v>
      </c>
      <c r="D13" s="49">
        <f>SUM(D14:D15)</f>
        <v>41531</v>
      </c>
      <c r="E13" s="49">
        <f>SUM(E14:E15)</f>
        <v>36517</v>
      </c>
      <c r="F13" s="49">
        <f>SUM(F14:F15)</f>
        <v>53553</v>
      </c>
      <c r="G13" s="114">
        <f>SUM(G14:G15)</f>
        <v>53553</v>
      </c>
      <c r="H13" s="115"/>
      <c r="I13" s="108"/>
      <c r="K13" s="108"/>
      <c r="L13" s="37"/>
      <c r="M13" s="108"/>
    </row>
    <row r="14" spans="1:13" ht="12">
      <c r="A14" s="47">
        <v>110501</v>
      </c>
      <c r="B14" s="144" t="s">
        <v>2781</v>
      </c>
      <c r="C14" s="52">
        <v>39</v>
      </c>
      <c r="D14" s="116">
        <v>36531</v>
      </c>
      <c r="E14" s="116">
        <v>36517</v>
      </c>
      <c r="F14" s="27">
        <f aca="true" t="shared" si="2" ref="F14:F75">+C14+D14-E14</f>
        <v>53</v>
      </c>
      <c r="G14" s="116">
        <f>+F14</f>
        <v>53</v>
      </c>
      <c r="H14" s="117">
        <v>0</v>
      </c>
      <c r="I14" s="37"/>
      <c r="K14" s="37"/>
      <c r="M14" s="37"/>
    </row>
    <row r="15" spans="1:13" ht="12">
      <c r="A15" s="47">
        <v>110502</v>
      </c>
      <c r="B15" s="144" t="s">
        <v>2782</v>
      </c>
      <c r="C15" s="52">
        <v>48500</v>
      </c>
      <c r="D15" s="116">
        <v>5000</v>
      </c>
      <c r="E15" s="116">
        <v>0</v>
      </c>
      <c r="F15" s="27">
        <f t="shared" si="2"/>
        <v>53500</v>
      </c>
      <c r="G15" s="116">
        <f>+F15</f>
        <v>53500</v>
      </c>
      <c r="H15" s="117">
        <v>0</v>
      </c>
      <c r="I15" s="37"/>
      <c r="K15" s="37"/>
      <c r="M15" s="37"/>
    </row>
    <row r="16" spans="1:13" ht="12">
      <c r="A16" s="47">
        <v>111000</v>
      </c>
      <c r="B16" s="143" t="s">
        <v>2783</v>
      </c>
      <c r="C16" s="54">
        <f aca="true" t="shared" si="3" ref="C16:H16">SUM(C17:C19)</f>
        <v>1669137</v>
      </c>
      <c r="D16" s="118">
        <f t="shared" si="3"/>
        <v>398383791</v>
      </c>
      <c r="E16" s="118">
        <f t="shared" si="3"/>
        <v>396908149</v>
      </c>
      <c r="F16" s="118">
        <f t="shared" si="3"/>
        <v>3144779</v>
      </c>
      <c r="G16" s="118">
        <f t="shared" si="3"/>
        <v>3144779</v>
      </c>
      <c r="H16" s="119">
        <f t="shared" si="3"/>
        <v>0</v>
      </c>
      <c r="I16" s="37"/>
      <c r="K16" s="37"/>
      <c r="M16" s="37"/>
    </row>
    <row r="17" spans="1:13" ht="12">
      <c r="A17" s="47">
        <v>111005</v>
      </c>
      <c r="B17" s="144" t="s">
        <v>2784</v>
      </c>
      <c r="C17" s="56">
        <v>842687</v>
      </c>
      <c r="D17" s="116">
        <f>395885562+1737245+447436</f>
        <v>398070243</v>
      </c>
      <c r="E17" s="116">
        <f>394547443+1833042+426087</f>
        <v>396806572</v>
      </c>
      <c r="F17" s="27">
        <f t="shared" si="2"/>
        <v>2106358</v>
      </c>
      <c r="G17" s="116">
        <f>+F17</f>
        <v>2106358</v>
      </c>
      <c r="H17" s="120">
        <v>0</v>
      </c>
      <c r="I17" s="37"/>
      <c r="K17" s="108"/>
      <c r="M17" s="108"/>
    </row>
    <row r="18" spans="1:9" ht="12">
      <c r="A18" s="47">
        <v>111006</v>
      </c>
      <c r="B18" s="144" t="s">
        <v>2785</v>
      </c>
      <c r="C18" s="56">
        <v>826450</v>
      </c>
      <c r="D18" s="116">
        <v>313548</v>
      </c>
      <c r="E18" s="116">
        <v>101577</v>
      </c>
      <c r="F18" s="27">
        <f t="shared" si="2"/>
        <v>1038421</v>
      </c>
      <c r="G18" s="116">
        <f>+F18</f>
        <v>1038421</v>
      </c>
      <c r="H18" s="120">
        <v>0</v>
      </c>
      <c r="I18" s="37"/>
    </row>
    <row r="19" spans="1:11" ht="12">
      <c r="A19" s="47">
        <v>111090</v>
      </c>
      <c r="B19" s="144" t="s">
        <v>2786</v>
      </c>
      <c r="C19" s="56">
        <v>0</v>
      </c>
      <c r="D19" s="116">
        <v>0</v>
      </c>
      <c r="E19" s="116">
        <v>0</v>
      </c>
      <c r="F19" s="27">
        <f t="shared" si="2"/>
        <v>0</v>
      </c>
      <c r="G19" s="116">
        <f>+F19</f>
        <v>0</v>
      </c>
      <c r="H19" s="120">
        <v>0</v>
      </c>
      <c r="K19" s="37"/>
    </row>
    <row r="20" spans="1:11" ht="12">
      <c r="A20" s="47">
        <v>112500</v>
      </c>
      <c r="B20" s="145" t="s">
        <v>2787</v>
      </c>
      <c r="C20" s="54">
        <f aca="true" t="shared" si="4" ref="C20:H20">SUM(C21:C22)</f>
        <v>21707869</v>
      </c>
      <c r="D20" s="118">
        <f t="shared" si="4"/>
        <v>117440687</v>
      </c>
      <c r="E20" s="118">
        <f t="shared" si="4"/>
        <v>105204629</v>
      </c>
      <c r="F20" s="118">
        <f t="shared" si="4"/>
        <v>33943927</v>
      </c>
      <c r="G20" s="118">
        <f t="shared" si="4"/>
        <v>33943927</v>
      </c>
      <c r="H20" s="119">
        <f t="shared" si="4"/>
        <v>0</v>
      </c>
      <c r="K20" s="37"/>
    </row>
    <row r="21" spans="1:11" ht="12">
      <c r="A21" s="47">
        <v>112504</v>
      </c>
      <c r="B21" s="144" t="s">
        <v>2788</v>
      </c>
      <c r="C21" s="56">
        <v>20393992</v>
      </c>
      <c r="D21" s="116">
        <v>116697089</v>
      </c>
      <c r="E21" s="116">
        <v>104656534</v>
      </c>
      <c r="F21" s="27">
        <f>C21+D21-E21</f>
        <v>32434547</v>
      </c>
      <c r="G21" s="116">
        <f>+F21</f>
        <v>32434547</v>
      </c>
      <c r="H21" s="120">
        <v>0</v>
      </c>
      <c r="K21" s="108"/>
    </row>
    <row r="22" spans="1:11" ht="12">
      <c r="A22" s="47">
        <v>112506</v>
      </c>
      <c r="B22" s="144" t="s">
        <v>2789</v>
      </c>
      <c r="C22" s="56">
        <v>1313877</v>
      </c>
      <c r="D22" s="116">
        <v>743598</v>
      </c>
      <c r="E22" s="116">
        <v>548095</v>
      </c>
      <c r="F22" s="27">
        <f t="shared" si="2"/>
        <v>1509380</v>
      </c>
      <c r="G22" s="116">
        <f>+F22</f>
        <v>1509380</v>
      </c>
      <c r="H22" s="119">
        <v>0</v>
      </c>
      <c r="K22" s="37"/>
    </row>
    <row r="23" spans="1:11" ht="12">
      <c r="A23" s="47">
        <v>120000</v>
      </c>
      <c r="B23" s="143" t="s">
        <v>2790</v>
      </c>
      <c r="C23" s="49">
        <f aca="true" t="shared" si="5" ref="C23:H23">C24+C27+C29+C31</f>
        <v>198832748</v>
      </c>
      <c r="D23" s="49">
        <f t="shared" si="5"/>
        <v>83375200</v>
      </c>
      <c r="E23" s="49">
        <f t="shared" si="5"/>
        <v>81648014</v>
      </c>
      <c r="F23" s="49">
        <f t="shared" si="5"/>
        <v>200559934</v>
      </c>
      <c r="G23" s="49">
        <f t="shared" si="5"/>
        <v>200510725</v>
      </c>
      <c r="H23" s="115">
        <f t="shared" si="5"/>
        <v>49209</v>
      </c>
      <c r="K23" s="37"/>
    </row>
    <row r="24" spans="1:11" ht="24">
      <c r="A24" s="47">
        <v>120100</v>
      </c>
      <c r="B24" s="143" t="s">
        <v>2791</v>
      </c>
      <c r="C24" s="49">
        <f aca="true" t="shared" si="6" ref="C24:H24">SUM(C25:C26)</f>
        <v>198783539</v>
      </c>
      <c r="D24" s="114">
        <f t="shared" si="6"/>
        <v>83375200</v>
      </c>
      <c r="E24" s="114">
        <f t="shared" si="6"/>
        <v>81648014</v>
      </c>
      <c r="F24" s="114">
        <f t="shared" si="6"/>
        <v>200510725</v>
      </c>
      <c r="G24" s="114">
        <f t="shared" si="6"/>
        <v>200510725</v>
      </c>
      <c r="H24" s="115">
        <f t="shared" si="6"/>
        <v>0</v>
      </c>
      <c r="K24" s="37"/>
    </row>
    <row r="25" spans="1:8" ht="12">
      <c r="A25" s="47">
        <v>120101</v>
      </c>
      <c r="B25" s="144" t="s">
        <v>2792</v>
      </c>
      <c r="C25" s="52">
        <v>55390851</v>
      </c>
      <c r="D25" s="121">
        <v>118879</v>
      </c>
      <c r="E25" s="121">
        <v>28045355</v>
      </c>
      <c r="F25" s="27">
        <f t="shared" si="2"/>
        <v>27464375</v>
      </c>
      <c r="G25" s="116">
        <f aca="true" t="shared" si="7" ref="G25:G33">+F25</f>
        <v>27464375</v>
      </c>
      <c r="H25" s="117">
        <v>0</v>
      </c>
    </row>
    <row r="26" spans="1:8" ht="12">
      <c r="A26" s="47">
        <v>120106</v>
      </c>
      <c r="B26" s="144" t="s">
        <v>2793</v>
      </c>
      <c r="C26" s="52">
        <v>143392688</v>
      </c>
      <c r="D26" s="121">
        <f>83214054+42267</f>
        <v>83256321</v>
      </c>
      <c r="E26" s="121">
        <v>53602659</v>
      </c>
      <c r="F26" s="27">
        <f t="shared" si="2"/>
        <v>173046350</v>
      </c>
      <c r="G26" s="116">
        <f t="shared" si="7"/>
        <v>173046350</v>
      </c>
      <c r="H26" s="117">
        <v>0</v>
      </c>
    </row>
    <row r="27" spans="1:8" ht="12">
      <c r="A27" s="47">
        <v>120200</v>
      </c>
      <c r="B27" s="143" t="s">
        <v>2794</v>
      </c>
      <c r="C27" s="54">
        <f>C28</f>
        <v>0</v>
      </c>
      <c r="D27" s="118">
        <f>D28</f>
        <v>0</v>
      </c>
      <c r="E27" s="118">
        <f>E28</f>
        <v>0</v>
      </c>
      <c r="F27" s="118">
        <f>F28</f>
        <v>0</v>
      </c>
      <c r="G27" s="118">
        <v>0</v>
      </c>
      <c r="H27" s="119">
        <v>0</v>
      </c>
    </row>
    <row r="28" spans="1:8" ht="12">
      <c r="A28" s="47">
        <v>120290</v>
      </c>
      <c r="B28" s="144" t="s">
        <v>2795</v>
      </c>
      <c r="C28" s="56">
        <v>0</v>
      </c>
      <c r="D28" s="116">
        <v>0</v>
      </c>
      <c r="E28" s="116">
        <v>0</v>
      </c>
      <c r="F28" s="27">
        <f t="shared" si="2"/>
        <v>0</v>
      </c>
      <c r="G28" s="116">
        <f t="shared" si="7"/>
        <v>0</v>
      </c>
      <c r="H28" s="120">
        <v>0</v>
      </c>
    </row>
    <row r="29" spans="1:8" ht="24">
      <c r="A29" s="47">
        <v>120700</v>
      </c>
      <c r="B29" s="143" t="s">
        <v>2796</v>
      </c>
      <c r="C29" s="54">
        <f aca="true" t="shared" si="8" ref="C29:H29">C30</f>
        <v>49209</v>
      </c>
      <c r="D29" s="118">
        <f t="shared" si="8"/>
        <v>0</v>
      </c>
      <c r="E29" s="118">
        <f t="shared" si="8"/>
        <v>0</v>
      </c>
      <c r="F29" s="118">
        <f t="shared" si="8"/>
        <v>49209</v>
      </c>
      <c r="G29" s="118">
        <f t="shared" si="8"/>
        <v>0</v>
      </c>
      <c r="H29" s="118">
        <f t="shared" si="8"/>
        <v>49209</v>
      </c>
    </row>
    <row r="30" spans="1:8" ht="12">
      <c r="A30" s="47">
        <v>120751</v>
      </c>
      <c r="B30" s="144" t="s">
        <v>2797</v>
      </c>
      <c r="C30" s="56">
        <v>49209</v>
      </c>
      <c r="D30" s="121">
        <v>0</v>
      </c>
      <c r="E30" s="121">
        <v>0</v>
      </c>
      <c r="F30" s="27">
        <f t="shared" si="2"/>
        <v>49209</v>
      </c>
      <c r="G30" s="116">
        <v>0</v>
      </c>
      <c r="H30" s="120">
        <v>49209</v>
      </c>
    </row>
    <row r="31" spans="1:8" ht="24">
      <c r="A31" s="47">
        <v>120800</v>
      </c>
      <c r="B31" s="143" t="s">
        <v>2798</v>
      </c>
      <c r="C31" s="54">
        <f>SUM(C32:C33)</f>
        <v>0</v>
      </c>
      <c r="D31" s="118">
        <f>SUM(D32:D33)</f>
        <v>0</v>
      </c>
      <c r="E31" s="118">
        <f>SUM(E32:E33)</f>
        <v>0</v>
      </c>
      <c r="F31" s="118">
        <f>SUM(F32:F33)</f>
        <v>0</v>
      </c>
      <c r="G31" s="118">
        <v>0</v>
      </c>
      <c r="H31" s="119">
        <v>0</v>
      </c>
    </row>
    <row r="32" spans="1:8" ht="12">
      <c r="A32" s="47">
        <v>120802</v>
      </c>
      <c r="B32" s="144" t="s">
        <v>2799</v>
      </c>
      <c r="C32" s="56">
        <v>0</v>
      </c>
      <c r="D32" s="116">
        <v>0</v>
      </c>
      <c r="E32" s="116">
        <v>0</v>
      </c>
      <c r="F32" s="27">
        <f t="shared" si="2"/>
        <v>0</v>
      </c>
      <c r="G32" s="116">
        <f t="shared" si="7"/>
        <v>0</v>
      </c>
      <c r="H32" s="120">
        <v>0</v>
      </c>
    </row>
    <row r="33" spans="1:8" ht="12">
      <c r="A33" s="47">
        <v>120890</v>
      </c>
      <c r="B33" s="144" t="s">
        <v>2800</v>
      </c>
      <c r="C33" s="52">
        <v>0</v>
      </c>
      <c r="D33" s="116">
        <v>0</v>
      </c>
      <c r="E33" s="116">
        <v>0</v>
      </c>
      <c r="F33" s="27">
        <f t="shared" si="2"/>
        <v>0</v>
      </c>
      <c r="G33" s="116">
        <f t="shared" si="7"/>
        <v>0</v>
      </c>
      <c r="H33" s="120">
        <v>0</v>
      </c>
    </row>
    <row r="34" spans="1:8" ht="12">
      <c r="A34" s="47">
        <v>140000</v>
      </c>
      <c r="B34" s="143" t="s">
        <v>2801</v>
      </c>
      <c r="C34" s="49">
        <f aca="true" t="shared" si="9" ref="C34:H34">C35+C40+C44+C47+C49+C52+C58+C61+C64+C71</f>
        <v>432203153</v>
      </c>
      <c r="D34" s="49">
        <f t="shared" si="9"/>
        <v>153852683</v>
      </c>
      <c r="E34" s="49">
        <f t="shared" si="9"/>
        <v>103792124</v>
      </c>
      <c r="F34" s="49">
        <f t="shared" si="9"/>
        <v>482263712</v>
      </c>
      <c r="G34" s="49">
        <f t="shared" si="9"/>
        <v>482263712</v>
      </c>
      <c r="H34" s="50">
        <f t="shared" si="9"/>
        <v>0</v>
      </c>
    </row>
    <row r="35" spans="1:8" ht="12">
      <c r="A35" s="47">
        <v>140100</v>
      </c>
      <c r="B35" s="145" t="s">
        <v>2802</v>
      </c>
      <c r="C35" s="49">
        <f aca="true" t="shared" si="10" ref="C35:H35">SUM(C36:C39)</f>
        <v>0</v>
      </c>
      <c r="D35" s="114">
        <f t="shared" si="10"/>
        <v>25023782</v>
      </c>
      <c r="E35" s="114">
        <f t="shared" si="10"/>
        <v>25023782</v>
      </c>
      <c r="F35" s="114">
        <f t="shared" si="10"/>
        <v>0</v>
      </c>
      <c r="G35" s="114">
        <f t="shared" si="10"/>
        <v>0</v>
      </c>
      <c r="H35" s="115">
        <f t="shared" si="10"/>
        <v>0</v>
      </c>
    </row>
    <row r="36" spans="1:8" ht="12">
      <c r="A36" s="47">
        <v>140101</v>
      </c>
      <c r="B36" s="146" t="s">
        <v>2803</v>
      </c>
      <c r="C36" s="52">
        <v>0</v>
      </c>
      <c r="D36" s="116">
        <v>25000904</v>
      </c>
      <c r="E36" s="116">
        <v>25000904</v>
      </c>
      <c r="F36" s="27">
        <f t="shared" si="2"/>
        <v>0</v>
      </c>
      <c r="G36" s="116">
        <f aca="true" t="shared" si="11" ref="G36:G57">+F36</f>
        <v>0</v>
      </c>
      <c r="H36" s="117">
        <v>0</v>
      </c>
    </row>
    <row r="37" spans="1:8" ht="12">
      <c r="A37" s="47">
        <v>140102</v>
      </c>
      <c r="B37" s="146" t="s">
        <v>2804</v>
      </c>
      <c r="C37" s="52">
        <v>0</v>
      </c>
      <c r="D37" s="116">
        <v>15051</v>
      </c>
      <c r="E37" s="116">
        <v>15051</v>
      </c>
      <c r="F37" s="27">
        <f t="shared" si="2"/>
        <v>0</v>
      </c>
      <c r="G37" s="116">
        <f t="shared" si="11"/>
        <v>0</v>
      </c>
      <c r="H37" s="117">
        <v>0</v>
      </c>
    </row>
    <row r="38" spans="1:8" ht="12">
      <c r="A38" s="47">
        <v>140113</v>
      </c>
      <c r="B38" s="146" t="s">
        <v>2805</v>
      </c>
      <c r="C38" s="52">
        <v>0</v>
      </c>
      <c r="D38" s="116">
        <v>7827</v>
      </c>
      <c r="E38" s="116">
        <v>7827</v>
      </c>
      <c r="F38" s="27">
        <f t="shared" si="2"/>
        <v>0</v>
      </c>
      <c r="G38" s="116">
        <f t="shared" si="11"/>
        <v>0</v>
      </c>
      <c r="H38" s="117">
        <v>0</v>
      </c>
    </row>
    <row r="39" spans="1:8" ht="12">
      <c r="A39" s="47">
        <v>140190</v>
      </c>
      <c r="B39" s="144" t="s">
        <v>2806</v>
      </c>
      <c r="C39" s="56">
        <v>0</v>
      </c>
      <c r="D39" s="116">
        <v>0</v>
      </c>
      <c r="E39" s="116">
        <v>0</v>
      </c>
      <c r="F39" s="27">
        <f t="shared" si="2"/>
        <v>0</v>
      </c>
      <c r="G39" s="116">
        <f t="shared" si="11"/>
        <v>0</v>
      </c>
      <c r="H39" s="120">
        <v>0</v>
      </c>
    </row>
    <row r="40" spans="1:8" ht="12">
      <c r="A40" s="47">
        <v>140400</v>
      </c>
      <c r="B40" s="143" t="s">
        <v>2787</v>
      </c>
      <c r="C40" s="54">
        <f aca="true" t="shared" si="12" ref="C40:H40">SUM(C41:C43)</f>
        <v>1333738</v>
      </c>
      <c r="D40" s="118">
        <f t="shared" si="12"/>
        <v>38390075</v>
      </c>
      <c r="E40" s="118">
        <f t="shared" si="12"/>
        <v>38855341</v>
      </c>
      <c r="F40" s="118">
        <f t="shared" si="12"/>
        <v>868472</v>
      </c>
      <c r="G40" s="118">
        <f t="shared" si="12"/>
        <v>868472</v>
      </c>
      <c r="H40" s="119">
        <f t="shared" si="12"/>
        <v>0</v>
      </c>
    </row>
    <row r="41" spans="1:8" ht="12">
      <c r="A41" s="47">
        <v>140414</v>
      </c>
      <c r="B41" s="144" t="s">
        <v>2807</v>
      </c>
      <c r="C41" s="56">
        <v>1333738</v>
      </c>
      <c r="D41" s="116">
        <v>37732303</v>
      </c>
      <c r="E41" s="116">
        <v>38197569</v>
      </c>
      <c r="F41" s="27">
        <f t="shared" si="2"/>
        <v>868472</v>
      </c>
      <c r="G41" s="116">
        <f t="shared" si="11"/>
        <v>868472</v>
      </c>
      <c r="H41" s="120">
        <v>0</v>
      </c>
    </row>
    <row r="42" spans="1:8" ht="12">
      <c r="A42" s="47">
        <v>140415</v>
      </c>
      <c r="B42" s="144" t="s">
        <v>2808</v>
      </c>
      <c r="C42" s="56">
        <v>0</v>
      </c>
      <c r="D42" s="116">
        <v>0</v>
      </c>
      <c r="E42" s="116">
        <v>0</v>
      </c>
      <c r="F42" s="27">
        <f t="shared" si="2"/>
        <v>0</v>
      </c>
      <c r="G42" s="116">
        <f t="shared" si="11"/>
        <v>0</v>
      </c>
      <c r="H42" s="120">
        <v>0</v>
      </c>
    </row>
    <row r="43" spans="1:8" ht="22.5">
      <c r="A43" s="47">
        <v>140442</v>
      </c>
      <c r="B43" s="51" t="s">
        <v>2809</v>
      </c>
      <c r="C43" s="56">
        <v>0</v>
      </c>
      <c r="D43" s="116">
        <v>657772</v>
      </c>
      <c r="E43" s="116">
        <v>657772</v>
      </c>
      <c r="F43" s="27">
        <f t="shared" si="2"/>
        <v>0</v>
      </c>
      <c r="G43" s="116">
        <f t="shared" si="11"/>
        <v>0</v>
      </c>
      <c r="H43" s="120">
        <v>0</v>
      </c>
    </row>
    <row r="44" spans="1:8" ht="12">
      <c r="A44" s="47">
        <v>140700</v>
      </c>
      <c r="B44" s="143" t="s">
        <v>2810</v>
      </c>
      <c r="C44" s="54">
        <f aca="true" t="shared" si="13" ref="C44:H44">SUM(C45:C46)</f>
        <v>512502</v>
      </c>
      <c r="D44" s="118">
        <f t="shared" si="13"/>
        <v>580307</v>
      </c>
      <c r="E44" s="118">
        <f t="shared" si="13"/>
        <v>703673</v>
      </c>
      <c r="F44" s="118">
        <f t="shared" si="13"/>
        <v>389136</v>
      </c>
      <c r="G44" s="118">
        <f t="shared" si="13"/>
        <v>389136</v>
      </c>
      <c r="H44" s="119">
        <f t="shared" si="13"/>
        <v>0</v>
      </c>
    </row>
    <row r="45" spans="1:8" ht="12">
      <c r="A45" s="47">
        <v>140701</v>
      </c>
      <c r="B45" s="144" t="s">
        <v>2811</v>
      </c>
      <c r="C45" s="56">
        <v>512502</v>
      </c>
      <c r="D45" s="116">
        <v>580307</v>
      </c>
      <c r="E45" s="116">
        <v>703673</v>
      </c>
      <c r="F45" s="27">
        <f t="shared" si="2"/>
        <v>389136</v>
      </c>
      <c r="G45" s="116">
        <f t="shared" si="11"/>
        <v>389136</v>
      </c>
      <c r="H45" s="120">
        <v>0</v>
      </c>
    </row>
    <row r="46" spans="1:8" ht="12">
      <c r="A46" s="47">
        <v>140790</v>
      </c>
      <c r="B46" s="144" t="s">
        <v>2812</v>
      </c>
      <c r="C46" s="56">
        <v>0</v>
      </c>
      <c r="D46" s="116">
        <v>0</v>
      </c>
      <c r="E46" s="116">
        <v>0</v>
      </c>
      <c r="F46" s="27">
        <f t="shared" si="2"/>
        <v>0</v>
      </c>
      <c r="G46" s="116">
        <f t="shared" si="11"/>
        <v>0</v>
      </c>
      <c r="H46" s="120">
        <v>0</v>
      </c>
    </row>
    <row r="47" spans="1:8" ht="12">
      <c r="A47" s="47">
        <v>141300</v>
      </c>
      <c r="B47" s="143" t="s">
        <v>2813</v>
      </c>
      <c r="C47" s="54">
        <f aca="true" t="shared" si="14" ref="C47:H47">SUM(C48)</f>
        <v>360693</v>
      </c>
      <c r="D47" s="118">
        <f t="shared" si="14"/>
        <v>0</v>
      </c>
      <c r="E47" s="118">
        <f t="shared" si="14"/>
        <v>198584</v>
      </c>
      <c r="F47" s="118">
        <f t="shared" si="14"/>
        <v>162109</v>
      </c>
      <c r="G47" s="118">
        <f t="shared" si="14"/>
        <v>162109</v>
      </c>
      <c r="H47" s="119">
        <f t="shared" si="14"/>
        <v>0</v>
      </c>
    </row>
    <row r="48" spans="1:8" ht="12">
      <c r="A48" s="47">
        <v>141303</v>
      </c>
      <c r="B48" s="144" t="s">
        <v>2814</v>
      </c>
      <c r="C48" s="56">
        <v>360693</v>
      </c>
      <c r="D48" s="116"/>
      <c r="E48" s="116">
        <v>198584</v>
      </c>
      <c r="F48" s="27">
        <f t="shared" si="2"/>
        <v>162109</v>
      </c>
      <c r="G48" s="116">
        <v>162109</v>
      </c>
      <c r="H48" s="120">
        <v>0</v>
      </c>
    </row>
    <row r="49" spans="1:8" ht="12">
      <c r="A49" s="47">
        <v>141500</v>
      </c>
      <c r="B49" s="143" t="s">
        <v>2815</v>
      </c>
      <c r="C49" s="54">
        <f aca="true" t="shared" si="15" ref="C49:H49">SUM(C50:C51)</f>
        <v>0</v>
      </c>
      <c r="D49" s="118">
        <f t="shared" si="15"/>
        <v>0</v>
      </c>
      <c r="E49" s="118">
        <f t="shared" si="15"/>
        <v>0</v>
      </c>
      <c r="F49" s="118">
        <f t="shared" si="15"/>
        <v>0</v>
      </c>
      <c r="G49" s="118">
        <f t="shared" si="15"/>
        <v>0</v>
      </c>
      <c r="H49" s="119">
        <f t="shared" si="15"/>
        <v>0</v>
      </c>
    </row>
    <row r="50" spans="1:8" ht="12">
      <c r="A50" s="47">
        <v>141507</v>
      </c>
      <c r="B50" s="51" t="s">
        <v>2816</v>
      </c>
      <c r="C50" s="56">
        <v>0</v>
      </c>
      <c r="D50" s="116">
        <v>0</v>
      </c>
      <c r="E50" s="116">
        <v>0</v>
      </c>
      <c r="F50" s="27">
        <f t="shared" si="2"/>
        <v>0</v>
      </c>
      <c r="G50" s="116">
        <f>F50</f>
        <v>0</v>
      </c>
      <c r="H50" s="116">
        <f>+H52</f>
        <v>0</v>
      </c>
    </row>
    <row r="51" spans="1:8" ht="12">
      <c r="A51" s="47">
        <v>141590</v>
      </c>
      <c r="B51" s="144" t="s">
        <v>2817</v>
      </c>
      <c r="C51" s="56">
        <v>0</v>
      </c>
      <c r="D51" s="116">
        <v>0</v>
      </c>
      <c r="E51" s="116">
        <v>0</v>
      </c>
      <c r="F51" s="27">
        <f t="shared" si="2"/>
        <v>0</v>
      </c>
      <c r="G51" s="116">
        <f t="shared" si="11"/>
        <v>0</v>
      </c>
      <c r="H51" s="120">
        <v>0</v>
      </c>
    </row>
    <row r="52" spans="1:8" ht="12">
      <c r="A52" s="47">
        <v>142000</v>
      </c>
      <c r="B52" s="143" t="s">
        <v>2818</v>
      </c>
      <c r="C52" s="49">
        <f aca="true" t="shared" si="16" ref="C52:H52">SUM(C53:C57)</f>
        <v>227238229</v>
      </c>
      <c r="D52" s="114">
        <f t="shared" si="16"/>
        <v>37588713</v>
      </c>
      <c r="E52" s="114">
        <f t="shared" si="16"/>
        <v>472402</v>
      </c>
      <c r="F52" s="114">
        <f t="shared" si="16"/>
        <v>264354540</v>
      </c>
      <c r="G52" s="114">
        <f t="shared" si="16"/>
        <v>264354540</v>
      </c>
      <c r="H52" s="115">
        <f t="shared" si="16"/>
        <v>0</v>
      </c>
    </row>
    <row r="53" spans="1:8" ht="12">
      <c r="A53" s="47">
        <v>142003</v>
      </c>
      <c r="B53" s="144" t="s">
        <v>2819</v>
      </c>
      <c r="C53" s="52">
        <v>59069693</v>
      </c>
      <c r="D53" s="116">
        <v>7412035</v>
      </c>
      <c r="E53" s="116">
        <v>0</v>
      </c>
      <c r="F53" s="27">
        <f t="shared" si="2"/>
        <v>66481728</v>
      </c>
      <c r="G53" s="116">
        <f t="shared" si="11"/>
        <v>66481728</v>
      </c>
      <c r="H53" s="117">
        <v>0</v>
      </c>
    </row>
    <row r="54" spans="1:8" ht="12">
      <c r="A54" s="47">
        <v>142005</v>
      </c>
      <c r="B54" s="144" t="s">
        <v>2820</v>
      </c>
      <c r="C54" s="52">
        <v>168096802</v>
      </c>
      <c r="D54" s="116">
        <v>30175674</v>
      </c>
      <c r="E54" s="116">
        <v>407514</v>
      </c>
      <c r="F54" s="27">
        <f t="shared" si="2"/>
        <v>197864962</v>
      </c>
      <c r="G54" s="116">
        <f t="shared" si="11"/>
        <v>197864962</v>
      </c>
      <c r="H54" s="117">
        <v>0</v>
      </c>
    </row>
    <row r="55" spans="1:8" ht="24">
      <c r="A55" s="47">
        <v>142012</v>
      </c>
      <c r="B55" s="144" t="s">
        <v>2821</v>
      </c>
      <c r="C55" s="56">
        <v>71734</v>
      </c>
      <c r="D55" s="116">
        <v>1004</v>
      </c>
      <c r="E55" s="116">
        <v>64888</v>
      </c>
      <c r="F55" s="27">
        <f t="shared" si="2"/>
        <v>7850</v>
      </c>
      <c r="G55" s="116">
        <f t="shared" si="11"/>
        <v>7850</v>
      </c>
      <c r="H55" s="120">
        <v>0</v>
      </c>
    </row>
    <row r="56" spans="1:8" ht="12">
      <c r="A56" s="47">
        <v>142013</v>
      </c>
      <c r="B56" s="144" t="s">
        <v>2822</v>
      </c>
      <c r="C56" s="56">
        <v>0</v>
      </c>
      <c r="D56" s="116">
        <v>0</v>
      </c>
      <c r="E56" s="116">
        <v>0</v>
      </c>
      <c r="F56" s="27">
        <f t="shared" si="2"/>
        <v>0</v>
      </c>
      <c r="G56" s="116">
        <f t="shared" si="11"/>
        <v>0</v>
      </c>
      <c r="H56" s="120">
        <v>0</v>
      </c>
    </row>
    <row r="57" spans="1:8" ht="12">
      <c r="A57" s="47">
        <v>142090</v>
      </c>
      <c r="B57" s="144" t="s">
        <v>2823</v>
      </c>
      <c r="C57" s="56">
        <v>0</v>
      </c>
      <c r="D57" s="116">
        <v>0</v>
      </c>
      <c r="E57" s="116">
        <v>0</v>
      </c>
      <c r="F57" s="27">
        <f t="shared" si="2"/>
        <v>0</v>
      </c>
      <c r="G57" s="116">
        <f t="shared" si="11"/>
        <v>0</v>
      </c>
      <c r="H57" s="120">
        <v>0</v>
      </c>
    </row>
    <row r="58" spans="1:8" ht="24">
      <c r="A58" s="47">
        <v>142200</v>
      </c>
      <c r="B58" s="143" t="s">
        <v>2824</v>
      </c>
      <c r="C58" s="54">
        <f aca="true" t="shared" si="17" ref="C58:H58">SUM(C59:C60)</f>
        <v>0</v>
      </c>
      <c r="D58" s="118">
        <f t="shared" si="17"/>
        <v>0</v>
      </c>
      <c r="E58" s="118">
        <f t="shared" si="17"/>
        <v>0</v>
      </c>
      <c r="F58" s="118">
        <f t="shared" si="17"/>
        <v>0</v>
      </c>
      <c r="G58" s="118">
        <f t="shared" si="17"/>
        <v>0</v>
      </c>
      <c r="H58" s="119">
        <f t="shared" si="17"/>
        <v>0</v>
      </c>
    </row>
    <row r="59" spans="1:8" ht="12">
      <c r="A59" s="47">
        <v>142204</v>
      </c>
      <c r="B59" s="144" t="s">
        <v>2825</v>
      </c>
      <c r="C59" s="54">
        <v>0</v>
      </c>
      <c r="D59" s="114"/>
      <c r="E59" s="114"/>
      <c r="F59" s="27"/>
      <c r="G59" s="114"/>
      <c r="H59" s="115"/>
    </row>
    <row r="60" spans="1:8" ht="12">
      <c r="A60" s="47">
        <v>142250</v>
      </c>
      <c r="B60" s="144" t="s">
        <v>2826</v>
      </c>
      <c r="C60" s="56">
        <v>0</v>
      </c>
      <c r="D60" s="116">
        <v>0</v>
      </c>
      <c r="E60" s="116">
        <v>0</v>
      </c>
      <c r="F60" s="27">
        <f t="shared" si="2"/>
        <v>0</v>
      </c>
      <c r="G60" s="116">
        <f aca="true" t="shared" si="18" ref="G60:G75">+F60</f>
        <v>0</v>
      </c>
      <c r="H60" s="120">
        <v>0</v>
      </c>
    </row>
    <row r="61" spans="1:8" ht="12">
      <c r="A61" s="47">
        <v>142500</v>
      </c>
      <c r="B61" s="143" t="s">
        <v>2827</v>
      </c>
      <c r="C61" s="49">
        <f aca="true" t="shared" si="19" ref="C61:H61">SUM(C62:C63)</f>
        <v>197309607</v>
      </c>
      <c r="D61" s="114">
        <f t="shared" si="19"/>
        <v>51274122</v>
      </c>
      <c r="E61" s="114">
        <f t="shared" si="19"/>
        <v>37566481</v>
      </c>
      <c r="F61" s="114">
        <f t="shared" si="19"/>
        <v>211017248</v>
      </c>
      <c r="G61" s="114">
        <f t="shared" si="19"/>
        <v>211017248</v>
      </c>
      <c r="H61" s="115">
        <f t="shared" si="19"/>
        <v>0</v>
      </c>
    </row>
    <row r="62" spans="1:8" ht="12">
      <c r="A62" s="47">
        <v>142503</v>
      </c>
      <c r="B62" s="144" t="s">
        <v>2828</v>
      </c>
      <c r="C62" s="52">
        <v>93151068</v>
      </c>
      <c r="D62" s="116">
        <v>4996846</v>
      </c>
      <c r="E62" s="116">
        <v>377429</v>
      </c>
      <c r="F62" s="27">
        <f t="shared" si="2"/>
        <v>97770485</v>
      </c>
      <c r="G62" s="116">
        <f t="shared" si="18"/>
        <v>97770485</v>
      </c>
      <c r="H62" s="117">
        <v>0</v>
      </c>
    </row>
    <row r="63" spans="1:8" ht="12">
      <c r="A63" s="47">
        <v>142504</v>
      </c>
      <c r="B63" s="144" t="s">
        <v>2829</v>
      </c>
      <c r="C63" s="52">
        <v>104158539</v>
      </c>
      <c r="D63" s="116">
        <f>46276469+807</f>
        <v>46277276</v>
      </c>
      <c r="E63" s="116">
        <v>37189052</v>
      </c>
      <c r="F63" s="27">
        <f t="shared" si="2"/>
        <v>113246763</v>
      </c>
      <c r="G63" s="116">
        <f t="shared" si="18"/>
        <v>113246763</v>
      </c>
      <c r="H63" s="117">
        <v>0</v>
      </c>
    </row>
    <row r="64" spans="1:8" ht="12">
      <c r="A64" s="47">
        <v>147000</v>
      </c>
      <c r="B64" s="143" t="s">
        <v>2830</v>
      </c>
      <c r="C64" s="49">
        <f aca="true" t="shared" si="20" ref="C64:H64">SUM(C65:C70)</f>
        <v>5450215</v>
      </c>
      <c r="D64" s="114">
        <f t="shared" si="20"/>
        <v>995684</v>
      </c>
      <c r="E64" s="114">
        <f t="shared" si="20"/>
        <v>971861</v>
      </c>
      <c r="F64" s="114">
        <f t="shared" si="20"/>
        <v>5474038</v>
      </c>
      <c r="G64" s="114">
        <f t="shared" si="20"/>
        <v>5474038</v>
      </c>
      <c r="H64" s="115">
        <f t="shared" si="20"/>
        <v>0</v>
      </c>
    </row>
    <row r="65" spans="1:8" ht="12">
      <c r="A65" s="47">
        <v>147002</v>
      </c>
      <c r="B65" s="144" t="s">
        <v>2831</v>
      </c>
      <c r="C65" s="52">
        <v>52907</v>
      </c>
      <c r="D65" s="116">
        <v>72718</v>
      </c>
      <c r="E65" s="116">
        <v>49406</v>
      </c>
      <c r="F65" s="27">
        <f t="shared" si="2"/>
        <v>76219</v>
      </c>
      <c r="G65" s="116">
        <f t="shared" si="18"/>
        <v>76219</v>
      </c>
      <c r="H65" s="117">
        <v>0</v>
      </c>
    </row>
    <row r="66" spans="1:8" ht="12">
      <c r="A66" s="47">
        <v>147006</v>
      </c>
      <c r="B66" s="51" t="s">
        <v>0</v>
      </c>
      <c r="C66" s="52">
        <v>0</v>
      </c>
      <c r="D66" s="116">
        <v>30513</v>
      </c>
      <c r="E66" s="116">
        <v>30513</v>
      </c>
      <c r="F66" s="27">
        <f t="shared" si="2"/>
        <v>0</v>
      </c>
      <c r="G66" s="116">
        <f t="shared" si="18"/>
        <v>0</v>
      </c>
      <c r="H66" s="117">
        <v>0</v>
      </c>
    </row>
    <row r="67" spans="1:8" ht="12">
      <c r="A67" s="47">
        <v>147013</v>
      </c>
      <c r="B67" s="144" t="s">
        <v>1</v>
      </c>
      <c r="C67" s="52">
        <v>100246</v>
      </c>
      <c r="D67" s="116">
        <v>0</v>
      </c>
      <c r="E67" s="116">
        <v>0</v>
      </c>
      <c r="F67" s="27">
        <f t="shared" si="2"/>
        <v>100246</v>
      </c>
      <c r="G67" s="116">
        <f t="shared" si="18"/>
        <v>100246</v>
      </c>
      <c r="H67" s="115">
        <v>0</v>
      </c>
    </row>
    <row r="68" spans="1:8" ht="24">
      <c r="A68" s="47">
        <v>147028</v>
      </c>
      <c r="B68" s="144" t="s">
        <v>2</v>
      </c>
      <c r="C68" s="52">
        <v>3272</v>
      </c>
      <c r="D68" s="116">
        <v>514</v>
      </c>
      <c r="E68" s="116">
        <v>3</v>
      </c>
      <c r="F68" s="27">
        <f t="shared" si="2"/>
        <v>3783</v>
      </c>
      <c r="G68" s="116">
        <f t="shared" si="18"/>
        <v>3783</v>
      </c>
      <c r="H68" s="115">
        <v>0</v>
      </c>
    </row>
    <row r="69" spans="1:8" ht="12">
      <c r="A69" s="47">
        <v>147064</v>
      </c>
      <c r="B69" s="144" t="s">
        <v>3</v>
      </c>
      <c r="C69" s="52">
        <v>5398</v>
      </c>
      <c r="D69" s="116">
        <v>0</v>
      </c>
      <c r="E69" s="116">
        <v>0</v>
      </c>
      <c r="F69" s="27">
        <f t="shared" si="2"/>
        <v>5398</v>
      </c>
      <c r="G69" s="116">
        <f t="shared" si="18"/>
        <v>5398</v>
      </c>
      <c r="H69" s="115">
        <v>0</v>
      </c>
    </row>
    <row r="70" spans="1:8" ht="12">
      <c r="A70" s="47">
        <v>147090</v>
      </c>
      <c r="B70" s="144" t="s">
        <v>4</v>
      </c>
      <c r="C70" s="52">
        <v>5288392</v>
      </c>
      <c r="D70" s="116">
        <v>891939</v>
      </c>
      <c r="E70" s="116">
        <v>891939</v>
      </c>
      <c r="F70" s="27">
        <f t="shared" si="2"/>
        <v>5288392</v>
      </c>
      <c r="G70" s="116">
        <f t="shared" si="18"/>
        <v>5288392</v>
      </c>
      <c r="H70" s="117">
        <v>0</v>
      </c>
    </row>
    <row r="71" spans="1:8" ht="12">
      <c r="A71" s="47">
        <v>148000</v>
      </c>
      <c r="B71" s="143" t="s">
        <v>5</v>
      </c>
      <c r="C71" s="54">
        <f aca="true" t="shared" si="21" ref="C71:H71">SUM(C72:C75)</f>
        <v>-1831</v>
      </c>
      <c r="D71" s="118">
        <f t="shared" si="21"/>
        <v>0</v>
      </c>
      <c r="E71" s="118">
        <f t="shared" si="21"/>
        <v>0</v>
      </c>
      <c r="F71" s="118">
        <f t="shared" si="21"/>
        <v>-1831</v>
      </c>
      <c r="G71" s="118">
        <f t="shared" si="21"/>
        <v>-1831</v>
      </c>
      <c r="H71" s="119">
        <f t="shared" si="21"/>
        <v>0</v>
      </c>
    </row>
    <row r="72" spans="1:8" ht="12">
      <c r="A72" s="47">
        <v>148006</v>
      </c>
      <c r="B72" s="144" t="s">
        <v>6</v>
      </c>
      <c r="C72" s="56">
        <v>0</v>
      </c>
      <c r="D72" s="116">
        <v>0</v>
      </c>
      <c r="E72" s="116">
        <v>0</v>
      </c>
      <c r="F72" s="27">
        <f t="shared" si="2"/>
        <v>0</v>
      </c>
      <c r="G72" s="116">
        <f t="shared" si="18"/>
        <v>0</v>
      </c>
      <c r="H72" s="120">
        <v>0</v>
      </c>
    </row>
    <row r="73" spans="1:8" ht="12">
      <c r="A73" s="47">
        <v>148009</v>
      </c>
      <c r="B73" s="144" t="s">
        <v>7</v>
      </c>
      <c r="C73" s="56">
        <v>0</v>
      </c>
      <c r="D73" s="116">
        <v>0</v>
      </c>
      <c r="E73" s="116">
        <v>0</v>
      </c>
      <c r="F73" s="27">
        <f t="shared" si="2"/>
        <v>0</v>
      </c>
      <c r="G73" s="116">
        <f t="shared" si="18"/>
        <v>0</v>
      </c>
      <c r="H73" s="120">
        <v>0</v>
      </c>
    </row>
    <row r="74" spans="1:8" ht="12">
      <c r="A74" s="47">
        <v>148012</v>
      </c>
      <c r="B74" s="144" t="s">
        <v>8</v>
      </c>
      <c r="C74" s="56">
        <v>-1831</v>
      </c>
      <c r="D74" s="116">
        <v>0</v>
      </c>
      <c r="E74" s="116">
        <v>0</v>
      </c>
      <c r="F74" s="27">
        <f t="shared" si="2"/>
        <v>-1831</v>
      </c>
      <c r="G74" s="116">
        <f t="shared" si="18"/>
        <v>-1831</v>
      </c>
      <c r="H74" s="120">
        <v>0</v>
      </c>
    </row>
    <row r="75" spans="1:8" ht="12">
      <c r="A75" s="47">
        <v>148090</v>
      </c>
      <c r="B75" s="144" t="s">
        <v>9</v>
      </c>
      <c r="C75" s="52">
        <v>0</v>
      </c>
      <c r="D75" s="116">
        <v>0</v>
      </c>
      <c r="E75" s="116">
        <v>0</v>
      </c>
      <c r="F75" s="27">
        <f t="shared" si="2"/>
        <v>0</v>
      </c>
      <c r="G75" s="116">
        <f t="shared" si="18"/>
        <v>0</v>
      </c>
      <c r="H75" s="117">
        <v>0</v>
      </c>
    </row>
    <row r="76" spans="1:8" ht="12">
      <c r="A76" s="47">
        <v>160000</v>
      </c>
      <c r="B76" s="143" t="s">
        <v>10</v>
      </c>
      <c r="C76" s="60">
        <f aca="true" t="shared" si="22" ref="C76:H76">C77+C80+C84+C86+C89+C97+C101+C111+C116+C121+C127+C130+C133</f>
        <v>13650265</v>
      </c>
      <c r="D76" s="60">
        <f t="shared" si="22"/>
        <v>1613032</v>
      </c>
      <c r="E76" s="60">
        <f t="shared" si="22"/>
        <v>1202991</v>
      </c>
      <c r="F76" s="60">
        <f t="shared" si="22"/>
        <v>14060306</v>
      </c>
      <c r="G76" s="60">
        <f t="shared" si="22"/>
        <v>0</v>
      </c>
      <c r="H76" s="61">
        <f t="shared" si="22"/>
        <v>14060306</v>
      </c>
    </row>
    <row r="77" spans="1:8" ht="12">
      <c r="A77" s="47">
        <v>160500</v>
      </c>
      <c r="B77" s="143" t="s">
        <v>11</v>
      </c>
      <c r="C77" s="60">
        <f aca="true" t="shared" si="23" ref="C77:H77">SUM(C78:C79)</f>
        <v>5284997</v>
      </c>
      <c r="D77" s="122">
        <f t="shared" si="23"/>
        <v>207000</v>
      </c>
      <c r="E77" s="122">
        <f t="shared" si="23"/>
        <v>204000</v>
      </c>
      <c r="F77" s="60">
        <f t="shared" si="23"/>
        <v>5287997</v>
      </c>
      <c r="G77" s="122">
        <f t="shared" si="23"/>
        <v>0</v>
      </c>
      <c r="H77" s="123">
        <f t="shared" si="23"/>
        <v>5287997</v>
      </c>
    </row>
    <row r="78" spans="1:8" ht="12">
      <c r="A78" s="47">
        <v>160501</v>
      </c>
      <c r="B78" s="144" t="s">
        <v>12</v>
      </c>
      <c r="C78" s="62">
        <v>4582430</v>
      </c>
      <c r="D78" s="124">
        <v>207000</v>
      </c>
      <c r="E78" s="124">
        <v>204000</v>
      </c>
      <c r="F78" s="27">
        <f aca="true" t="shared" si="24" ref="F78:F132">+C78+D78-E78</f>
        <v>4585430</v>
      </c>
      <c r="G78" s="124">
        <v>0</v>
      </c>
      <c r="H78" s="125">
        <f>+F78</f>
        <v>4585430</v>
      </c>
    </row>
    <row r="79" spans="1:8" ht="12">
      <c r="A79" s="47">
        <v>160502</v>
      </c>
      <c r="B79" s="144" t="s">
        <v>13</v>
      </c>
      <c r="C79" s="62">
        <v>702567</v>
      </c>
      <c r="D79" s="124">
        <v>0</v>
      </c>
      <c r="E79" s="124">
        <v>0</v>
      </c>
      <c r="F79" s="27">
        <f t="shared" si="24"/>
        <v>702567</v>
      </c>
      <c r="G79" s="124">
        <v>0</v>
      </c>
      <c r="H79" s="125">
        <f>+F79</f>
        <v>702567</v>
      </c>
    </row>
    <row r="80" spans="1:8" ht="12">
      <c r="A80" s="47">
        <v>161500</v>
      </c>
      <c r="B80" s="143" t="s">
        <v>14</v>
      </c>
      <c r="C80" s="60">
        <f aca="true" t="shared" si="25" ref="C80:H80">SUM(C81:C83)</f>
        <v>0</v>
      </c>
      <c r="D80" s="122">
        <f t="shared" si="25"/>
        <v>0</v>
      </c>
      <c r="E80" s="122">
        <f t="shared" si="25"/>
        <v>0</v>
      </c>
      <c r="F80" s="122">
        <f t="shared" si="25"/>
        <v>0</v>
      </c>
      <c r="G80" s="122">
        <f t="shared" si="25"/>
        <v>0</v>
      </c>
      <c r="H80" s="123">
        <f t="shared" si="25"/>
        <v>0</v>
      </c>
    </row>
    <row r="81" spans="1:8" ht="12">
      <c r="A81" s="47">
        <v>161501</v>
      </c>
      <c r="B81" s="144" t="s">
        <v>15</v>
      </c>
      <c r="C81" s="62">
        <v>0</v>
      </c>
      <c r="D81" s="124">
        <v>0</v>
      </c>
      <c r="E81" s="124">
        <v>0</v>
      </c>
      <c r="F81" s="27">
        <f t="shared" si="24"/>
        <v>0</v>
      </c>
      <c r="G81" s="124">
        <v>0</v>
      </c>
      <c r="H81" s="125">
        <f>+F81</f>
        <v>0</v>
      </c>
    </row>
    <row r="82" spans="1:8" ht="12">
      <c r="A82" s="47">
        <v>161505</v>
      </c>
      <c r="B82" s="144" t="s">
        <v>16</v>
      </c>
      <c r="C82" s="62">
        <v>0</v>
      </c>
      <c r="D82" s="124">
        <v>0</v>
      </c>
      <c r="E82" s="124">
        <v>0</v>
      </c>
      <c r="F82" s="27">
        <f t="shared" si="24"/>
        <v>0</v>
      </c>
      <c r="G82" s="124">
        <v>0</v>
      </c>
      <c r="H82" s="125">
        <f>+F82</f>
        <v>0</v>
      </c>
    </row>
    <row r="83" spans="1:8" ht="12">
      <c r="A83" s="47">
        <v>161590</v>
      </c>
      <c r="B83" s="144" t="s">
        <v>17</v>
      </c>
      <c r="C83" s="62">
        <v>0</v>
      </c>
      <c r="D83" s="124">
        <v>0</v>
      </c>
      <c r="E83" s="124">
        <v>0</v>
      </c>
      <c r="F83" s="27">
        <f t="shared" si="24"/>
        <v>0</v>
      </c>
      <c r="G83" s="124">
        <v>0</v>
      </c>
      <c r="H83" s="125">
        <v>0</v>
      </c>
    </row>
    <row r="84" spans="1:8" ht="12">
      <c r="A84" s="47">
        <v>162000</v>
      </c>
      <c r="B84" s="143" t="s">
        <v>18</v>
      </c>
      <c r="C84" s="60">
        <f aca="true" t="shared" si="26" ref="C84:H84">SUM(C85)</f>
        <v>0</v>
      </c>
      <c r="D84" s="122">
        <f t="shared" si="26"/>
        <v>0</v>
      </c>
      <c r="E84" s="122">
        <f t="shared" si="26"/>
        <v>0</v>
      </c>
      <c r="F84" s="122">
        <f t="shared" si="26"/>
        <v>0</v>
      </c>
      <c r="G84" s="122">
        <f t="shared" si="26"/>
        <v>0</v>
      </c>
      <c r="H84" s="123">
        <f t="shared" si="26"/>
        <v>0</v>
      </c>
    </row>
    <row r="85" spans="1:8" ht="12">
      <c r="A85" s="47">
        <v>162005</v>
      </c>
      <c r="B85" s="144" t="s">
        <v>19</v>
      </c>
      <c r="C85" s="62">
        <v>0</v>
      </c>
      <c r="D85" s="124">
        <v>0</v>
      </c>
      <c r="E85" s="124">
        <v>0</v>
      </c>
      <c r="F85" s="27">
        <f t="shared" si="24"/>
        <v>0</v>
      </c>
      <c r="G85" s="124">
        <v>0</v>
      </c>
      <c r="H85" s="125">
        <f aca="true" t="shared" si="27" ref="H85:H140">+F85</f>
        <v>0</v>
      </c>
    </row>
    <row r="86" spans="1:8" ht="24">
      <c r="A86" s="47">
        <v>162500</v>
      </c>
      <c r="B86" s="143" t="s">
        <v>20</v>
      </c>
      <c r="C86" s="60">
        <f aca="true" t="shared" si="28" ref="C86:H86">SUM(C87:C88)</f>
        <v>0</v>
      </c>
      <c r="D86" s="122">
        <f t="shared" si="28"/>
        <v>13529</v>
      </c>
      <c r="E86" s="122">
        <f t="shared" si="28"/>
        <v>13529</v>
      </c>
      <c r="F86" s="122">
        <f t="shared" si="28"/>
        <v>0</v>
      </c>
      <c r="G86" s="122">
        <f t="shared" si="28"/>
        <v>0</v>
      </c>
      <c r="H86" s="123">
        <f t="shared" si="28"/>
        <v>0</v>
      </c>
    </row>
    <row r="87" spans="1:8" ht="12">
      <c r="A87" s="47">
        <v>162505</v>
      </c>
      <c r="B87" s="144" t="s">
        <v>21</v>
      </c>
      <c r="C87" s="62">
        <v>0</v>
      </c>
      <c r="D87" s="124">
        <v>0</v>
      </c>
      <c r="E87" s="124">
        <v>0</v>
      </c>
      <c r="F87" s="27">
        <f t="shared" si="24"/>
        <v>0</v>
      </c>
      <c r="G87" s="124">
        <v>0</v>
      </c>
      <c r="H87" s="125">
        <f t="shared" si="27"/>
        <v>0</v>
      </c>
    </row>
    <row r="88" spans="1:8" ht="12">
      <c r="A88" s="47">
        <v>162507</v>
      </c>
      <c r="B88" s="144" t="s">
        <v>22</v>
      </c>
      <c r="C88" s="62">
        <v>0</v>
      </c>
      <c r="D88" s="124">
        <v>13529</v>
      </c>
      <c r="E88" s="124">
        <v>13529</v>
      </c>
      <c r="F88" s="27">
        <f t="shared" si="24"/>
        <v>0</v>
      </c>
      <c r="G88" s="124">
        <v>0</v>
      </c>
      <c r="H88" s="125">
        <f t="shared" si="27"/>
        <v>0</v>
      </c>
    </row>
    <row r="89" spans="1:8" ht="12">
      <c r="A89" s="47">
        <v>163500</v>
      </c>
      <c r="B89" s="145" t="s">
        <v>23</v>
      </c>
      <c r="C89" s="60">
        <f aca="true" t="shared" si="29" ref="C89:H89">SUM(C90:C96)</f>
        <v>1284751</v>
      </c>
      <c r="D89" s="122">
        <f t="shared" si="29"/>
        <v>392457</v>
      </c>
      <c r="E89" s="122">
        <f t="shared" si="29"/>
        <v>286628</v>
      </c>
      <c r="F89" s="60">
        <f t="shared" si="29"/>
        <v>1390580</v>
      </c>
      <c r="G89" s="122">
        <f t="shared" si="29"/>
        <v>0</v>
      </c>
      <c r="H89" s="123">
        <f t="shared" si="29"/>
        <v>1390580</v>
      </c>
    </row>
    <row r="90" spans="1:8" ht="12">
      <c r="A90" s="47">
        <v>163501</v>
      </c>
      <c r="B90" s="144" t="s">
        <v>24</v>
      </c>
      <c r="C90" s="62">
        <v>444</v>
      </c>
      <c r="D90" s="124">
        <v>67</v>
      </c>
      <c r="E90" s="124">
        <v>67</v>
      </c>
      <c r="F90" s="27">
        <f t="shared" si="24"/>
        <v>444</v>
      </c>
      <c r="G90" s="124">
        <v>0</v>
      </c>
      <c r="H90" s="125">
        <f t="shared" si="27"/>
        <v>444</v>
      </c>
    </row>
    <row r="91" spans="1:8" ht="12">
      <c r="A91" s="47">
        <v>163502</v>
      </c>
      <c r="B91" s="144" t="s">
        <v>25</v>
      </c>
      <c r="C91" s="62">
        <v>0</v>
      </c>
      <c r="D91" s="124">
        <v>0</v>
      </c>
      <c r="E91" s="124">
        <v>0</v>
      </c>
      <c r="F91" s="27">
        <f t="shared" si="24"/>
        <v>0</v>
      </c>
      <c r="G91" s="124">
        <v>0</v>
      </c>
      <c r="H91" s="125">
        <f t="shared" si="27"/>
        <v>0</v>
      </c>
    </row>
    <row r="92" spans="1:8" ht="12">
      <c r="A92" s="47">
        <v>163503</v>
      </c>
      <c r="B92" s="144" t="s">
        <v>22</v>
      </c>
      <c r="C92" s="62">
        <v>43945</v>
      </c>
      <c r="D92" s="124">
        <f>40586+100191</f>
        <v>140777</v>
      </c>
      <c r="E92" s="124">
        <f>15784+106081</f>
        <v>121865</v>
      </c>
      <c r="F92" s="27">
        <f t="shared" si="24"/>
        <v>62857</v>
      </c>
      <c r="G92" s="124">
        <v>0</v>
      </c>
      <c r="H92" s="125">
        <f t="shared" si="27"/>
        <v>62857</v>
      </c>
    </row>
    <row r="93" spans="1:8" ht="12">
      <c r="A93" s="47">
        <v>163504</v>
      </c>
      <c r="B93" s="146" t="s">
        <v>21</v>
      </c>
      <c r="C93" s="62">
        <v>1211212</v>
      </c>
      <c r="D93" s="124">
        <f>248615+1960</f>
        <v>250575</v>
      </c>
      <c r="E93" s="124">
        <f>160131+4565</f>
        <v>164696</v>
      </c>
      <c r="F93" s="27">
        <f t="shared" si="24"/>
        <v>1297091</v>
      </c>
      <c r="G93" s="124">
        <v>0</v>
      </c>
      <c r="H93" s="125">
        <f t="shared" si="27"/>
        <v>1297091</v>
      </c>
    </row>
    <row r="94" spans="1:8" ht="12">
      <c r="A94" s="47">
        <v>163505</v>
      </c>
      <c r="B94" s="146" t="s">
        <v>26</v>
      </c>
      <c r="C94" s="62">
        <v>29120</v>
      </c>
      <c r="D94" s="124">
        <v>0</v>
      </c>
      <c r="E94" s="124">
        <v>0</v>
      </c>
      <c r="F94" s="27">
        <f t="shared" si="24"/>
        <v>29120</v>
      </c>
      <c r="G94" s="124">
        <v>0</v>
      </c>
      <c r="H94" s="125">
        <f t="shared" si="27"/>
        <v>29120</v>
      </c>
    </row>
    <row r="95" spans="1:8" ht="24">
      <c r="A95" s="47">
        <v>163511</v>
      </c>
      <c r="B95" s="147" t="s">
        <v>27</v>
      </c>
      <c r="C95" s="62">
        <v>30</v>
      </c>
      <c r="D95" s="124">
        <v>1038</v>
      </c>
      <c r="E95" s="124">
        <v>0</v>
      </c>
      <c r="F95" s="27">
        <f t="shared" si="24"/>
        <v>1068</v>
      </c>
      <c r="G95" s="124">
        <v>0</v>
      </c>
      <c r="H95" s="125">
        <f t="shared" si="27"/>
        <v>1068</v>
      </c>
    </row>
    <row r="96" spans="1:8" ht="12">
      <c r="A96" s="47">
        <v>163599</v>
      </c>
      <c r="B96" s="147" t="s">
        <v>28</v>
      </c>
      <c r="C96" s="62">
        <v>0</v>
      </c>
      <c r="D96" s="124">
        <v>0</v>
      </c>
      <c r="E96" s="124">
        <v>0</v>
      </c>
      <c r="F96" s="27">
        <f t="shared" si="24"/>
        <v>0</v>
      </c>
      <c r="G96" s="124">
        <v>0</v>
      </c>
      <c r="H96" s="125">
        <f t="shared" si="27"/>
        <v>0</v>
      </c>
    </row>
    <row r="97" spans="1:8" ht="12">
      <c r="A97" s="47">
        <v>164000</v>
      </c>
      <c r="B97" s="148" t="s">
        <v>29</v>
      </c>
      <c r="C97" s="60">
        <f aca="true" t="shared" si="30" ref="C97:H97">SUM(C98:C100)</f>
        <v>6278553</v>
      </c>
      <c r="D97" s="122">
        <f t="shared" si="30"/>
        <v>349000</v>
      </c>
      <c r="E97" s="122">
        <f t="shared" si="30"/>
        <v>0</v>
      </c>
      <c r="F97" s="60">
        <f t="shared" si="30"/>
        <v>6627553</v>
      </c>
      <c r="G97" s="122">
        <f t="shared" si="30"/>
        <v>0</v>
      </c>
      <c r="H97" s="123">
        <f t="shared" si="30"/>
        <v>6627553</v>
      </c>
    </row>
    <row r="98" spans="1:8" ht="12">
      <c r="A98" s="47">
        <v>164001</v>
      </c>
      <c r="B98" s="149" t="s">
        <v>30</v>
      </c>
      <c r="C98" s="62">
        <v>6278553</v>
      </c>
      <c r="D98" s="124">
        <v>349000</v>
      </c>
      <c r="E98" s="124">
        <v>0</v>
      </c>
      <c r="F98" s="27">
        <f t="shared" si="24"/>
        <v>6627553</v>
      </c>
      <c r="G98" s="124">
        <v>0</v>
      </c>
      <c r="H98" s="125">
        <f t="shared" si="27"/>
        <v>6627553</v>
      </c>
    </row>
    <row r="99" spans="1:8" ht="12">
      <c r="A99" s="47">
        <v>164002</v>
      </c>
      <c r="B99" s="149" t="s">
        <v>31</v>
      </c>
      <c r="C99" s="62">
        <v>0</v>
      </c>
      <c r="D99" s="124">
        <v>0</v>
      </c>
      <c r="E99" s="124">
        <v>0</v>
      </c>
      <c r="F99" s="27">
        <f t="shared" si="24"/>
        <v>0</v>
      </c>
      <c r="G99" s="124">
        <v>0</v>
      </c>
      <c r="H99" s="125">
        <f t="shared" si="27"/>
        <v>0</v>
      </c>
    </row>
    <row r="100" spans="1:8" ht="12">
      <c r="A100" s="47">
        <v>164099</v>
      </c>
      <c r="B100" s="147" t="s">
        <v>28</v>
      </c>
      <c r="C100" s="62">
        <v>0</v>
      </c>
      <c r="D100" s="124">
        <v>0</v>
      </c>
      <c r="E100" s="124">
        <v>0</v>
      </c>
      <c r="F100" s="27">
        <f t="shared" si="24"/>
        <v>0</v>
      </c>
      <c r="G100" s="124">
        <v>0</v>
      </c>
      <c r="H100" s="125">
        <f t="shared" si="27"/>
        <v>0</v>
      </c>
    </row>
    <row r="101" spans="1:8" ht="12">
      <c r="A101" s="47">
        <v>165500</v>
      </c>
      <c r="B101" s="148" t="s">
        <v>32</v>
      </c>
      <c r="C101" s="60">
        <f aca="true" t="shared" si="31" ref="C101:H101">SUM(C102:C110)</f>
        <v>850255</v>
      </c>
      <c r="D101" s="122">
        <f t="shared" si="31"/>
        <v>4331</v>
      </c>
      <c r="E101" s="122">
        <f t="shared" si="31"/>
        <v>12060</v>
      </c>
      <c r="F101" s="60">
        <f t="shared" si="31"/>
        <v>842526</v>
      </c>
      <c r="G101" s="122">
        <f t="shared" si="31"/>
        <v>0</v>
      </c>
      <c r="H101" s="123">
        <f t="shared" si="31"/>
        <v>842526</v>
      </c>
    </row>
    <row r="102" spans="1:8" ht="12">
      <c r="A102" s="47">
        <v>165501</v>
      </c>
      <c r="B102" s="147" t="s">
        <v>33</v>
      </c>
      <c r="C102" s="62">
        <v>2636</v>
      </c>
      <c r="D102" s="124">
        <v>0</v>
      </c>
      <c r="E102" s="124">
        <v>0</v>
      </c>
      <c r="F102" s="27">
        <f t="shared" si="24"/>
        <v>2636</v>
      </c>
      <c r="G102" s="124">
        <v>0</v>
      </c>
      <c r="H102" s="125">
        <f t="shared" si="27"/>
        <v>2636</v>
      </c>
    </row>
    <row r="103" spans="1:8" ht="12">
      <c r="A103" s="47">
        <v>165504</v>
      </c>
      <c r="B103" s="147" t="s">
        <v>34</v>
      </c>
      <c r="C103" s="62">
        <v>0</v>
      </c>
      <c r="D103" s="124">
        <v>0</v>
      </c>
      <c r="E103" s="124">
        <v>0</v>
      </c>
      <c r="F103" s="27">
        <f t="shared" si="24"/>
        <v>0</v>
      </c>
      <c r="G103" s="124">
        <v>0</v>
      </c>
      <c r="H103" s="125">
        <f t="shared" si="27"/>
        <v>0</v>
      </c>
    </row>
    <row r="104" spans="1:8" ht="12">
      <c r="A104" s="47">
        <v>165505</v>
      </c>
      <c r="B104" s="147" t="s">
        <v>35</v>
      </c>
      <c r="C104" s="62">
        <v>5498</v>
      </c>
      <c r="D104" s="124">
        <v>0</v>
      </c>
      <c r="E104" s="124">
        <v>0</v>
      </c>
      <c r="F104" s="27">
        <f t="shared" si="24"/>
        <v>5498</v>
      </c>
      <c r="G104" s="124">
        <v>0</v>
      </c>
      <c r="H104" s="125">
        <f t="shared" si="27"/>
        <v>5498</v>
      </c>
    </row>
    <row r="105" spans="1:8" ht="12">
      <c r="A105" s="47">
        <v>165506</v>
      </c>
      <c r="B105" s="149" t="s">
        <v>36</v>
      </c>
      <c r="C105" s="62">
        <v>311475</v>
      </c>
      <c r="D105" s="124">
        <v>0</v>
      </c>
      <c r="E105" s="124">
        <v>5415</v>
      </c>
      <c r="F105" s="27">
        <f t="shared" si="24"/>
        <v>306060</v>
      </c>
      <c r="G105" s="124">
        <v>0</v>
      </c>
      <c r="H105" s="125">
        <f t="shared" si="27"/>
        <v>306060</v>
      </c>
    </row>
    <row r="106" spans="1:8" ht="12">
      <c r="A106" s="47">
        <v>165509</v>
      </c>
      <c r="B106" s="149" t="s">
        <v>37</v>
      </c>
      <c r="C106" s="62">
        <v>519671</v>
      </c>
      <c r="D106" s="124">
        <v>0</v>
      </c>
      <c r="E106" s="124">
        <v>1856</v>
      </c>
      <c r="F106" s="27">
        <f t="shared" si="24"/>
        <v>517815</v>
      </c>
      <c r="G106" s="124">
        <v>0</v>
      </c>
      <c r="H106" s="125">
        <f t="shared" si="27"/>
        <v>517815</v>
      </c>
    </row>
    <row r="107" spans="1:8" ht="12">
      <c r="A107" s="47">
        <v>165510</v>
      </c>
      <c r="B107" s="147" t="s">
        <v>38</v>
      </c>
      <c r="C107" s="62">
        <v>3812</v>
      </c>
      <c r="D107" s="124">
        <v>0</v>
      </c>
      <c r="E107" s="124">
        <v>0</v>
      </c>
      <c r="F107" s="27">
        <f t="shared" si="24"/>
        <v>3812</v>
      </c>
      <c r="G107" s="124">
        <v>0</v>
      </c>
      <c r="H107" s="125">
        <f t="shared" si="27"/>
        <v>3812</v>
      </c>
    </row>
    <row r="108" spans="1:8" ht="12">
      <c r="A108" s="47">
        <v>165511</v>
      </c>
      <c r="B108" s="147" t="s">
        <v>39</v>
      </c>
      <c r="C108" s="62">
        <v>7163</v>
      </c>
      <c r="D108" s="124">
        <v>67</v>
      </c>
      <c r="E108" s="124">
        <f>67+458</f>
        <v>525</v>
      </c>
      <c r="F108" s="27">
        <f t="shared" si="24"/>
        <v>6705</v>
      </c>
      <c r="G108" s="124">
        <v>0</v>
      </c>
      <c r="H108" s="125">
        <f t="shared" si="27"/>
        <v>6705</v>
      </c>
    </row>
    <row r="109" spans="1:8" ht="12">
      <c r="A109" s="47">
        <v>165590</v>
      </c>
      <c r="B109" s="147" t="s">
        <v>40</v>
      </c>
      <c r="C109" s="62">
        <v>0</v>
      </c>
      <c r="D109" s="124">
        <v>4264</v>
      </c>
      <c r="E109" s="124">
        <v>4264</v>
      </c>
      <c r="F109" s="27">
        <f t="shared" si="24"/>
        <v>0</v>
      </c>
      <c r="G109" s="124">
        <v>0</v>
      </c>
      <c r="H109" s="125">
        <f t="shared" si="27"/>
        <v>0</v>
      </c>
    </row>
    <row r="110" spans="1:8" ht="12">
      <c r="A110" s="47">
        <v>165599</v>
      </c>
      <c r="B110" s="147" t="s">
        <v>28</v>
      </c>
      <c r="C110" s="62">
        <v>0</v>
      </c>
      <c r="D110" s="124">
        <v>0</v>
      </c>
      <c r="E110" s="124">
        <v>0</v>
      </c>
      <c r="F110" s="27">
        <f t="shared" si="24"/>
        <v>0</v>
      </c>
      <c r="G110" s="124">
        <v>0</v>
      </c>
      <c r="H110" s="125">
        <f t="shared" si="27"/>
        <v>0</v>
      </c>
    </row>
    <row r="111" spans="1:8" ht="12">
      <c r="A111" s="47">
        <v>166000</v>
      </c>
      <c r="B111" s="148" t="s">
        <v>41</v>
      </c>
      <c r="C111" s="60">
        <f aca="true" t="shared" si="32" ref="C111:H111">SUM(C112:C115)</f>
        <v>406745</v>
      </c>
      <c r="D111" s="122">
        <f t="shared" si="32"/>
        <v>14500</v>
      </c>
      <c r="E111" s="122">
        <f t="shared" si="32"/>
        <v>412</v>
      </c>
      <c r="F111" s="60">
        <f t="shared" si="32"/>
        <v>420833</v>
      </c>
      <c r="G111" s="122">
        <f t="shared" si="32"/>
        <v>0</v>
      </c>
      <c r="H111" s="123">
        <f t="shared" si="32"/>
        <v>420833</v>
      </c>
    </row>
    <row r="112" spans="1:8" ht="12">
      <c r="A112" s="47">
        <v>166001</v>
      </c>
      <c r="B112" s="147" t="s">
        <v>42</v>
      </c>
      <c r="C112" s="62">
        <v>0</v>
      </c>
      <c r="D112" s="124">
        <v>0</v>
      </c>
      <c r="E112" s="124">
        <v>0</v>
      </c>
      <c r="F112" s="27">
        <f t="shared" si="24"/>
        <v>0</v>
      </c>
      <c r="G112" s="124">
        <v>0</v>
      </c>
      <c r="H112" s="125">
        <f t="shared" si="27"/>
        <v>0</v>
      </c>
    </row>
    <row r="113" spans="1:8" ht="12">
      <c r="A113" s="47">
        <v>166002</v>
      </c>
      <c r="B113" s="147" t="s">
        <v>43</v>
      </c>
      <c r="C113" s="62">
        <v>406745</v>
      </c>
      <c r="D113" s="124">
        <v>14500</v>
      </c>
      <c r="E113" s="124">
        <v>412</v>
      </c>
      <c r="F113" s="27">
        <f t="shared" si="24"/>
        <v>420833</v>
      </c>
      <c r="G113" s="124">
        <v>0</v>
      </c>
      <c r="H113" s="125">
        <f t="shared" si="27"/>
        <v>420833</v>
      </c>
    </row>
    <row r="114" spans="1:8" ht="12">
      <c r="A114" s="47">
        <v>166003</v>
      </c>
      <c r="B114" s="147" t="s">
        <v>44</v>
      </c>
      <c r="C114" s="62">
        <v>0</v>
      </c>
      <c r="D114" s="124">
        <v>0</v>
      </c>
      <c r="E114" s="124">
        <v>0</v>
      </c>
      <c r="F114" s="27">
        <f t="shared" si="24"/>
        <v>0</v>
      </c>
      <c r="G114" s="124">
        <v>0</v>
      </c>
      <c r="H114" s="125">
        <f t="shared" si="27"/>
        <v>0</v>
      </c>
    </row>
    <row r="115" spans="1:8" ht="12">
      <c r="A115" s="47">
        <v>166099</v>
      </c>
      <c r="B115" s="147" t="s">
        <v>28</v>
      </c>
      <c r="C115" s="62">
        <v>0</v>
      </c>
      <c r="D115" s="124">
        <v>0</v>
      </c>
      <c r="E115" s="124">
        <v>0</v>
      </c>
      <c r="F115" s="27">
        <f t="shared" si="24"/>
        <v>0</v>
      </c>
      <c r="G115" s="124">
        <v>0</v>
      </c>
      <c r="H115" s="125">
        <f t="shared" si="27"/>
        <v>0</v>
      </c>
    </row>
    <row r="116" spans="1:8" ht="12">
      <c r="A116" s="47">
        <v>166500</v>
      </c>
      <c r="B116" s="148" t="s">
        <v>45</v>
      </c>
      <c r="C116" s="60">
        <f aca="true" t="shared" si="33" ref="C116:H116">SUM(C117:C120)</f>
        <v>1948750</v>
      </c>
      <c r="D116" s="122">
        <f t="shared" si="33"/>
        <v>129810</v>
      </c>
      <c r="E116" s="122">
        <f t="shared" si="33"/>
        <v>65410</v>
      </c>
      <c r="F116" s="60">
        <f t="shared" si="33"/>
        <v>2013150</v>
      </c>
      <c r="G116" s="122">
        <f t="shared" si="33"/>
        <v>0</v>
      </c>
      <c r="H116" s="123">
        <f t="shared" si="33"/>
        <v>2013150</v>
      </c>
    </row>
    <row r="117" spans="1:8" ht="12">
      <c r="A117" s="47">
        <v>166501</v>
      </c>
      <c r="B117" s="144" t="s">
        <v>46</v>
      </c>
      <c r="C117" s="62">
        <v>1699628</v>
      </c>
      <c r="D117" s="124">
        <f>15784+114026</f>
        <v>129810</v>
      </c>
      <c r="E117" s="124">
        <f>26531+26003</f>
        <v>52534</v>
      </c>
      <c r="F117" s="27">
        <f t="shared" si="24"/>
        <v>1776904</v>
      </c>
      <c r="G117" s="124">
        <v>0</v>
      </c>
      <c r="H117" s="125">
        <f t="shared" si="27"/>
        <v>1776904</v>
      </c>
    </row>
    <row r="118" spans="1:8" ht="12">
      <c r="A118" s="47">
        <v>166502</v>
      </c>
      <c r="B118" s="144" t="s">
        <v>47</v>
      </c>
      <c r="C118" s="62">
        <v>249122</v>
      </c>
      <c r="D118" s="124">
        <v>0</v>
      </c>
      <c r="E118" s="124">
        <f>524+12352</f>
        <v>12876</v>
      </c>
      <c r="F118" s="27">
        <f t="shared" si="24"/>
        <v>236246</v>
      </c>
      <c r="G118" s="124">
        <v>0</v>
      </c>
      <c r="H118" s="125">
        <f t="shared" si="27"/>
        <v>236246</v>
      </c>
    </row>
    <row r="119" spans="1:8" ht="12">
      <c r="A119" s="47">
        <v>166590</v>
      </c>
      <c r="B119" s="144" t="s">
        <v>48</v>
      </c>
      <c r="C119" s="62">
        <v>0</v>
      </c>
      <c r="D119" s="124">
        <v>0</v>
      </c>
      <c r="E119" s="124">
        <v>0</v>
      </c>
      <c r="F119" s="27">
        <f t="shared" si="24"/>
        <v>0</v>
      </c>
      <c r="G119" s="124">
        <v>0</v>
      </c>
      <c r="H119" s="125">
        <f t="shared" si="27"/>
        <v>0</v>
      </c>
    </row>
    <row r="120" spans="1:8" ht="12">
      <c r="A120" s="47">
        <v>166599</v>
      </c>
      <c r="B120" s="147" t="s">
        <v>49</v>
      </c>
      <c r="C120" s="62">
        <v>0</v>
      </c>
      <c r="D120" s="124">
        <v>0</v>
      </c>
      <c r="E120" s="124">
        <v>0</v>
      </c>
      <c r="F120" s="27">
        <f t="shared" si="24"/>
        <v>0</v>
      </c>
      <c r="G120" s="124">
        <v>0</v>
      </c>
      <c r="H120" s="125">
        <f t="shared" si="27"/>
        <v>0</v>
      </c>
    </row>
    <row r="121" spans="1:8" ht="24">
      <c r="A121" s="47">
        <v>167000</v>
      </c>
      <c r="B121" s="150" t="s">
        <v>50</v>
      </c>
      <c r="C121" s="60">
        <f aca="true" t="shared" si="34" ref="C121:H121">SUM(C122:C126)</f>
        <v>2802400</v>
      </c>
      <c r="D121" s="122">
        <f t="shared" si="34"/>
        <v>249181</v>
      </c>
      <c r="E121" s="122">
        <f t="shared" si="34"/>
        <v>74217</v>
      </c>
      <c r="F121" s="60">
        <f t="shared" si="34"/>
        <v>2977364</v>
      </c>
      <c r="G121" s="122">
        <f t="shared" si="34"/>
        <v>0</v>
      </c>
      <c r="H121" s="123">
        <f t="shared" si="34"/>
        <v>2977364</v>
      </c>
    </row>
    <row r="122" spans="1:8" ht="12">
      <c r="A122" s="47">
        <v>167001</v>
      </c>
      <c r="B122" s="147" t="s">
        <v>51</v>
      </c>
      <c r="C122" s="52">
        <v>195534</v>
      </c>
      <c r="D122" s="116">
        <f>10648+28378</f>
        <v>39026</v>
      </c>
      <c r="E122" s="116">
        <v>1199</v>
      </c>
      <c r="F122" s="27">
        <f t="shared" si="24"/>
        <v>233361</v>
      </c>
      <c r="G122" s="116">
        <v>0</v>
      </c>
      <c r="H122" s="125">
        <f t="shared" si="27"/>
        <v>233361</v>
      </c>
    </row>
    <row r="123" spans="1:8" ht="12">
      <c r="A123" s="47">
        <v>167002</v>
      </c>
      <c r="B123" s="147" t="s">
        <v>52</v>
      </c>
      <c r="C123" s="52">
        <v>2606866</v>
      </c>
      <c r="D123" s="116">
        <f>124517+69959+15679</f>
        <v>210155</v>
      </c>
      <c r="E123" s="116">
        <f>46957+26061</f>
        <v>73018</v>
      </c>
      <c r="F123" s="27">
        <f t="shared" si="24"/>
        <v>2744003</v>
      </c>
      <c r="G123" s="116">
        <v>0</v>
      </c>
      <c r="H123" s="125">
        <f t="shared" si="27"/>
        <v>2744003</v>
      </c>
    </row>
    <row r="124" spans="1:8" ht="12">
      <c r="A124" s="47">
        <v>167003</v>
      </c>
      <c r="B124" s="147" t="s">
        <v>53</v>
      </c>
      <c r="C124" s="52">
        <v>0</v>
      </c>
      <c r="D124" s="116">
        <v>0</v>
      </c>
      <c r="E124" s="116">
        <v>0</v>
      </c>
      <c r="F124" s="27">
        <f t="shared" si="24"/>
        <v>0</v>
      </c>
      <c r="G124" s="116">
        <v>0</v>
      </c>
      <c r="H124" s="125">
        <f t="shared" si="27"/>
        <v>0</v>
      </c>
    </row>
    <row r="125" spans="1:8" ht="12">
      <c r="A125" s="47">
        <v>167090</v>
      </c>
      <c r="B125" s="147" t="s">
        <v>54</v>
      </c>
      <c r="C125" s="52">
        <v>0</v>
      </c>
      <c r="D125" s="116">
        <v>0</v>
      </c>
      <c r="E125" s="116">
        <v>0</v>
      </c>
      <c r="F125" s="27">
        <f t="shared" si="24"/>
        <v>0</v>
      </c>
      <c r="G125" s="116">
        <v>0</v>
      </c>
      <c r="H125" s="125">
        <f t="shared" si="27"/>
        <v>0</v>
      </c>
    </row>
    <row r="126" spans="1:8" ht="12">
      <c r="A126" s="47">
        <v>167099</v>
      </c>
      <c r="B126" s="147" t="s">
        <v>55</v>
      </c>
      <c r="C126" s="52">
        <v>0</v>
      </c>
      <c r="D126" s="116">
        <v>0</v>
      </c>
      <c r="E126" s="116">
        <v>0</v>
      </c>
      <c r="F126" s="27">
        <f t="shared" si="24"/>
        <v>0</v>
      </c>
      <c r="G126" s="116">
        <v>0</v>
      </c>
      <c r="H126" s="125">
        <f t="shared" si="27"/>
        <v>0</v>
      </c>
    </row>
    <row r="127" spans="1:8" ht="12">
      <c r="A127" s="47">
        <v>167500</v>
      </c>
      <c r="B127" s="148" t="s">
        <v>56</v>
      </c>
      <c r="C127" s="49">
        <f aca="true" t="shared" si="35" ref="C127:H127">SUM(C128:C129)</f>
        <v>527253</v>
      </c>
      <c r="D127" s="114">
        <f t="shared" si="35"/>
        <v>0</v>
      </c>
      <c r="E127" s="114">
        <f t="shared" si="35"/>
        <v>0</v>
      </c>
      <c r="F127" s="49">
        <f t="shared" si="35"/>
        <v>527253</v>
      </c>
      <c r="G127" s="114">
        <f t="shared" si="35"/>
        <v>0</v>
      </c>
      <c r="H127" s="115">
        <f t="shared" si="35"/>
        <v>527253</v>
      </c>
    </row>
    <row r="128" spans="1:8" ht="12">
      <c r="A128" s="47">
        <v>167502</v>
      </c>
      <c r="B128" s="147" t="s">
        <v>57</v>
      </c>
      <c r="C128" s="52">
        <v>527253</v>
      </c>
      <c r="D128" s="116">
        <v>0</v>
      </c>
      <c r="E128" s="116">
        <v>0</v>
      </c>
      <c r="F128" s="27">
        <f t="shared" si="24"/>
        <v>527253</v>
      </c>
      <c r="G128" s="116">
        <v>0</v>
      </c>
      <c r="H128" s="125">
        <f t="shared" si="27"/>
        <v>527253</v>
      </c>
    </row>
    <row r="129" spans="1:8" ht="12">
      <c r="A129" s="47">
        <v>167599</v>
      </c>
      <c r="B129" s="149" t="s">
        <v>28</v>
      </c>
      <c r="C129" s="52">
        <v>0</v>
      </c>
      <c r="D129" s="116">
        <v>0</v>
      </c>
      <c r="E129" s="116">
        <v>0</v>
      </c>
      <c r="F129" s="27">
        <f t="shared" si="24"/>
        <v>0</v>
      </c>
      <c r="G129" s="116">
        <v>0</v>
      </c>
      <c r="H129" s="125">
        <f t="shared" si="27"/>
        <v>0</v>
      </c>
    </row>
    <row r="130" spans="1:8" ht="24">
      <c r="A130" s="47">
        <v>168000</v>
      </c>
      <c r="B130" s="151" t="s">
        <v>58</v>
      </c>
      <c r="C130" s="49">
        <f aca="true" t="shared" si="36" ref="C130:H130">SUM(C131:C132)</f>
        <v>57801</v>
      </c>
      <c r="D130" s="114">
        <f t="shared" si="36"/>
        <v>12618</v>
      </c>
      <c r="E130" s="114">
        <f t="shared" si="36"/>
        <v>1038</v>
      </c>
      <c r="F130" s="49">
        <f t="shared" si="36"/>
        <v>69381</v>
      </c>
      <c r="G130" s="114">
        <f t="shared" si="36"/>
        <v>0</v>
      </c>
      <c r="H130" s="115">
        <f t="shared" si="36"/>
        <v>69381</v>
      </c>
    </row>
    <row r="131" spans="1:8" ht="12">
      <c r="A131" s="47">
        <v>168002</v>
      </c>
      <c r="B131" s="149" t="s">
        <v>59</v>
      </c>
      <c r="C131" s="52">
        <v>57801</v>
      </c>
      <c r="D131" s="116">
        <v>12618</v>
      </c>
      <c r="E131" s="116">
        <v>1038</v>
      </c>
      <c r="F131" s="27">
        <f t="shared" si="24"/>
        <v>69381</v>
      </c>
      <c r="G131" s="116">
        <v>0</v>
      </c>
      <c r="H131" s="125">
        <f t="shared" si="27"/>
        <v>69381</v>
      </c>
    </row>
    <row r="132" spans="1:8" ht="12">
      <c r="A132" s="47">
        <v>168099</v>
      </c>
      <c r="B132" s="149" t="s">
        <v>28</v>
      </c>
      <c r="C132" s="52">
        <v>0</v>
      </c>
      <c r="D132" s="116">
        <v>0</v>
      </c>
      <c r="E132" s="116">
        <v>0</v>
      </c>
      <c r="F132" s="27">
        <f t="shared" si="24"/>
        <v>0</v>
      </c>
      <c r="G132" s="116">
        <v>0</v>
      </c>
      <c r="H132" s="125">
        <f t="shared" si="27"/>
        <v>0</v>
      </c>
    </row>
    <row r="133" spans="1:8" ht="12">
      <c r="A133" s="47">
        <v>168500</v>
      </c>
      <c r="B133" s="150" t="s">
        <v>60</v>
      </c>
      <c r="C133" s="69">
        <f aca="true" t="shared" si="37" ref="C133:H133">SUM(C134:C141)</f>
        <v>-5791240</v>
      </c>
      <c r="D133" s="126">
        <f t="shared" si="37"/>
        <v>240606</v>
      </c>
      <c r="E133" s="126">
        <f t="shared" si="37"/>
        <v>545697</v>
      </c>
      <c r="F133" s="69">
        <f t="shared" si="37"/>
        <v>-6096331</v>
      </c>
      <c r="G133" s="126">
        <f t="shared" si="37"/>
        <v>0</v>
      </c>
      <c r="H133" s="127">
        <f t="shared" si="37"/>
        <v>-6096331</v>
      </c>
    </row>
    <row r="134" spans="1:8" ht="12">
      <c r="A134" s="47">
        <v>168501</v>
      </c>
      <c r="B134" s="149" t="s">
        <v>61</v>
      </c>
      <c r="C134" s="62">
        <v>-1621099</v>
      </c>
      <c r="D134" s="124">
        <v>238873</v>
      </c>
      <c r="E134" s="124">
        <v>338271</v>
      </c>
      <c r="F134" s="27">
        <f>C134+D134-E134</f>
        <v>-1720497</v>
      </c>
      <c r="G134" s="124">
        <v>0</v>
      </c>
      <c r="H134" s="125">
        <f t="shared" si="27"/>
        <v>-1720497</v>
      </c>
    </row>
    <row r="135" spans="1:8" ht="12">
      <c r="A135" s="47">
        <v>168504</v>
      </c>
      <c r="B135" s="149" t="s">
        <v>24</v>
      </c>
      <c r="C135" s="62">
        <v>-367699</v>
      </c>
      <c r="D135" s="124">
        <v>0</v>
      </c>
      <c r="E135" s="124">
        <f>280+17315+92</f>
        <v>17687</v>
      </c>
      <c r="F135" s="27">
        <f aca="true" t="shared" si="38" ref="F135:F141">C135+D135-E135</f>
        <v>-385386</v>
      </c>
      <c r="G135" s="124">
        <v>0</v>
      </c>
      <c r="H135" s="125">
        <f t="shared" si="27"/>
        <v>-385386</v>
      </c>
    </row>
    <row r="136" spans="1:8" ht="12">
      <c r="A136" s="47">
        <v>168505</v>
      </c>
      <c r="B136" s="149" t="s">
        <v>62</v>
      </c>
      <c r="C136" s="62">
        <v>-139030</v>
      </c>
      <c r="D136" s="124">
        <v>0</v>
      </c>
      <c r="E136" s="124">
        <v>11898</v>
      </c>
      <c r="F136" s="27">
        <f t="shared" si="38"/>
        <v>-150928</v>
      </c>
      <c r="G136" s="124">
        <v>0</v>
      </c>
      <c r="H136" s="125">
        <f t="shared" si="27"/>
        <v>-150928</v>
      </c>
    </row>
    <row r="137" spans="1:8" ht="12">
      <c r="A137" s="47">
        <v>168506</v>
      </c>
      <c r="B137" s="149" t="s">
        <v>63</v>
      </c>
      <c r="C137" s="62">
        <v>-1414508</v>
      </c>
      <c r="D137" s="124">
        <v>0</v>
      </c>
      <c r="E137" s="124">
        <f>11603+9264+1165</f>
        <v>22032</v>
      </c>
      <c r="F137" s="27">
        <f t="shared" si="38"/>
        <v>-1436540</v>
      </c>
      <c r="G137" s="124">
        <v>0</v>
      </c>
      <c r="H137" s="125">
        <f t="shared" si="27"/>
        <v>-1436540</v>
      </c>
    </row>
    <row r="138" spans="1:8" ht="12">
      <c r="A138" s="47">
        <v>168507</v>
      </c>
      <c r="B138" s="149" t="s">
        <v>21</v>
      </c>
      <c r="C138" s="62">
        <v>-1989696</v>
      </c>
      <c r="D138" s="124">
        <v>0</v>
      </c>
      <c r="E138" s="124">
        <f>106149+20783+12229</f>
        <v>139161</v>
      </c>
      <c r="F138" s="27">
        <f t="shared" si="38"/>
        <v>-2128857</v>
      </c>
      <c r="G138" s="124">
        <v>0</v>
      </c>
      <c r="H138" s="125">
        <f t="shared" si="27"/>
        <v>-2128857</v>
      </c>
    </row>
    <row r="139" spans="1:8" ht="12">
      <c r="A139" s="47">
        <v>168508</v>
      </c>
      <c r="B139" s="149" t="s">
        <v>64</v>
      </c>
      <c r="C139" s="62">
        <v>-225329</v>
      </c>
      <c r="D139" s="124">
        <v>1733</v>
      </c>
      <c r="E139" s="124">
        <v>16171</v>
      </c>
      <c r="F139" s="27">
        <f t="shared" si="38"/>
        <v>-239767</v>
      </c>
      <c r="G139" s="124">
        <v>0</v>
      </c>
      <c r="H139" s="125">
        <f t="shared" si="27"/>
        <v>-239767</v>
      </c>
    </row>
    <row r="140" spans="1:8" ht="24">
      <c r="A140" s="47">
        <v>168509</v>
      </c>
      <c r="B140" s="149" t="s">
        <v>65</v>
      </c>
      <c r="C140" s="62">
        <v>-33879</v>
      </c>
      <c r="D140" s="124">
        <v>0</v>
      </c>
      <c r="E140" s="124">
        <v>477</v>
      </c>
      <c r="F140" s="27">
        <f t="shared" si="38"/>
        <v>-34356</v>
      </c>
      <c r="G140" s="124">
        <v>0</v>
      </c>
      <c r="H140" s="125">
        <f t="shared" si="27"/>
        <v>-34356</v>
      </c>
    </row>
    <row r="141" spans="1:8" ht="12">
      <c r="A141" s="47">
        <v>168599</v>
      </c>
      <c r="B141" s="149" t="s">
        <v>28</v>
      </c>
      <c r="C141" s="62">
        <v>0</v>
      </c>
      <c r="D141" s="124">
        <v>0</v>
      </c>
      <c r="E141" s="124">
        <v>0</v>
      </c>
      <c r="F141" s="27">
        <f t="shared" si="38"/>
        <v>0</v>
      </c>
      <c r="G141" s="124">
        <v>0</v>
      </c>
      <c r="H141" s="125">
        <f>+F141</f>
        <v>0</v>
      </c>
    </row>
    <row r="142" spans="1:8" ht="12">
      <c r="A142" s="47">
        <v>190000</v>
      </c>
      <c r="B142" s="148" t="s">
        <v>66</v>
      </c>
      <c r="C142" s="60">
        <f aca="true" t="shared" si="39" ref="C142:H142">C143+C150+C162+C164+C168+C172+C176+C180+C183+C185+C189+C193+C203+C208+C210</f>
        <v>132318195</v>
      </c>
      <c r="D142" s="60">
        <f t="shared" si="39"/>
        <v>232402431</v>
      </c>
      <c r="E142" s="60">
        <f t="shared" si="39"/>
        <v>232763798</v>
      </c>
      <c r="F142" s="60">
        <f t="shared" si="39"/>
        <v>131956828</v>
      </c>
      <c r="G142" s="60">
        <f t="shared" si="39"/>
        <v>0</v>
      </c>
      <c r="H142" s="61">
        <f t="shared" si="39"/>
        <v>131956828</v>
      </c>
    </row>
    <row r="143" spans="1:8" ht="12">
      <c r="A143" s="47">
        <v>190500</v>
      </c>
      <c r="B143" s="148" t="s">
        <v>67</v>
      </c>
      <c r="C143" s="60">
        <f aca="true" t="shared" si="40" ref="C143:H143">SUM(C144:C149)</f>
        <v>206956</v>
      </c>
      <c r="D143" s="122">
        <f t="shared" si="40"/>
        <v>2816</v>
      </c>
      <c r="E143" s="122">
        <f t="shared" si="40"/>
        <v>79831</v>
      </c>
      <c r="F143" s="122">
        <f>SUM(F144:F149)</f>
        <v>129941</v>
      </c>
      <c r="G143" s="122">
        <f t="shared" si="40"/>
        <v>0</v>
      </c>
      <c r="H143" s="123">
        <f t="shared" si="40"/>
        <v>129941</v>
      </c>
    </row>
    <row r="144" spans="1:8" ht="12">
      <c r="A144" s="47">
        <v>190501</v>
      </c>
      <c r="B144" s="147" t="s">
        <v>68</v>
      </c>
      <c r="C144" s="62">
        <v>195797</v>
      </c>
      <c r="D144" s="124">
        <v>362</v>
      </c>
      <c r="E144" s="124">
        <f>65694+6078+1804</f>
        <v>73576</v>
      </c>
      <c r="F144" s="27">
        <f aca="true" t="shared" si="41" ref="F144:F207">+C144+D144-E144</f>
        <v>122583</v>
      </c>
      <c r="G144" s="124">
        <v>0</v>
      </c>
      <c r="H144" s="125">
        <f>+F144</f>
        <v>122583</v>
      </c>
    </row>
    <row r="145" spans="1:8" ht="12">
      <c r="A145" s="47">
        <v>190504</v>
      </c>
      <c r="B145" s="147" t="s">
        <v>0</v>
      </c>
      <c r="C145" s="62">
        <v>0</v>
      </c>
      <c r="D145" s="124">
        <v>0</v>
      </c>
      <c r="E145" s="124">
        <v>0</v>
      </c>
      <c r="F145" s="27">
        <f t="shared" si="41"/>
        <v>0</v>
      </c>
      <c r="G145" s="124">
        <f>+F145</f>
        <v>0</v>
      </c>
      <c r="H145" s="125">
        <v>0</v>
      </c>
    </row>
    <row r="146" spans="1:8" ht="24">
      <c r="A146" s="47">
        <v>190505</v>
      </c>
      <c r="B146" s="147" t="s">
        <v>69</v>
      </c>
      <c r="C146" s="62">
        <v>10846</v>
      </c>
      <c r="D146" s="124">
        <v>0</v>
      </c>
      <c r="E146" s="124">
        <f>449+1056+1983</f>
        <v>3488</v>
      </c>
      <c r="F146" s="27">
        <f t="shared" si="41"/>
        <v>7358</v>
      </c>
      <c r="G146" s="124">
        <v>0</v>
      </c>
      <c r="H146" s="125">
        <f>+F146</f>
        <v>7358</v>
      </c>
    </row>
    <row r="147" spans="1:8" ht="12">
      <c r="A147" s="47">
        <v>190507</v>
      </c>
      <c r="B147" s="147" t="s">
        <v>70</v>
      </c>
      <c r="C147" s="62">
        <v>0</v>
      </c>
      <c r="D147" s="124">
        <v>0</v>
      </c>
      <c r="E147" s="124">
        <v>0</v>
      </c>
      <c r="F147" s="27">
        <f t="shared" si="41"/>
        <v>0</v>
      </c>
      <c r="G147" s="124">
        <f>+F147</f>
        <v>0</v>
      </c>
      <c r="H147" s="125">
        <v>0</v>
      </c>
    </row>
    <row r="148" spans="1:8" ht="12">
      <c r="A148" s="47">
        <v>190508</v>
      </c>
      <c r="B148" s="147" t="s">
        <v>71</v>
      </c>
      <c r="C148" s="62">
        <v>313</v>
      </c>
      <c r="D148" s="124">
        <v>2454</v>
      </c>
      <c r="E148" s="124">
        <v>2767</v>
      </c>
      <c r="F148" s="27">
        <f t="shared" si="41"/>
        <v>0</v>
      </c>
      <c r="G148" s="124">
        <f>+F148</f>
        <v>0</v>
      </c>
      <c r="H148" s="125">
        <v>0</v>
      </c>
    </row>
    <row r="149" spans="1:8" ht="12">
      <c r="A149" s="47">
        <v>190590</v>
      </c>
      <c r="B149" s="147" t="s">
        <v>72</v>
      </c>
      <c r="C149" s="62">
        <v>0</v>
      </c>
      <c r="D149" s="124">
        <v>0</v>
      </c>
      <c r="E149" s="124">
        <v>0</v>
      </c>
      <c r="F149" s="27">
        <f t="shared" si="41"/>
        <v>0</v>
      </c>
      <c r="G149" s="124">
        <f>+F149</f>
        <v>0</v>
      </c>
      <c r="H149" s="125">
        <v>0</v>
      </c>
    </row>
    <row r="150" spans="1:8" ht="12">
      <c r="A150" s="47">
        <v>191000</v>
      </c>
      <c r="B150" s="148" t="s">
        <v>73</v>
      </c>
      <c r="C150" s="69">
        <f aca="true" t="shared" si="42" ref="C150:H150">SUM(C151:C161)</f>
        <v>1036930</v>
      </c>
      <c r="D150" s="126">
        <f t="shared" si="42"/>
        <v>274358</v>
      </c>
      <c r="E150" s="126">
        <f t="shared" si="42"/>
        <v>335877</v>
      </c>
      <c r="F150" s="126">
        <f t="shared" si="42"/>
        <v>975411</v>
      </c>
      <c r="G150" s="126">
        <f t="shared" si="42"/>
        <v>0</v>
      </c>
      <c r="H150" s="127">
        <f t="shared" si="42"/>
        <v>975411</v>
      </c>
    </row>
    <row r="151" spans="1:8" ht="12">
      <c r="A151" s="47">
        <v>191001</v>
      </c>
      <c r="B151" s="147" t="s">
        <v>74</v>
      </c>
      <c r="C151" s="71">
        <v>251810</v>
      </c>
      <c r="D151" s="121">
        <f>76528+44298</f>
        <v>120826</v>
      </c>
      <c r="E151" s="121">
        <f>238649+6926+15745</f>
        <v>261320</v>
      </c>
      <c r="F151" s="27">
        <f t="shared" si="41"/>
        <v>111316</v>
      </c>
      <c r="G151" s="121">
        <v>0</v>
      </c>
      <c r="H151" s="128">
        <f>+F151</f>
        <v>111316</v>
      </c>
    </row>
    <row r="152" spans="1:8" ht="12">
      <c r="A152" s="47">
        <v>191003</v>
      </c>
      <c r="B152" s="147" t="s">
        <v>75</v>
      </c>
      <c r="C152" s="71">
        <v>0</v>
      </c>
      <c r="D152" s="121">
        <v>0</v>
      </c>
      <c r="E152" s="121">
        <v>0</v>
      </c>
      <c r="F152" s="27">
        <f t="shared" si="41"/>
        <v>0</v>
      </c>
      <c r="G152" s="121">
        <v>0</v>
      </c>
      <c r="H152" s="128">
        <f aca="true" t="shared" si="43" ref="H152:H213">+F152</f>
        <v>0</v>
      </c>
    </row>
    <row r="153" spans="1:8" ht="12">
      <c r="A153" s="47">
        <v>191004</v>
      </c>
      <c r="B153" s="149" t="s">
        <v>76</v>
      </c>
      <c r="C153" s="71">
        <v>4356</v>
      </c>
      <c r="D153" s="129">
        <v>3519</v>
      </c>
      <c r="E153" s="129">
        <v>2179</v>
      </c>
      <c r="F153" s="27">
        <f t="shared" si="41"/>
        <v>5696</v>
      </c>
      <c r="G153" s="129">
        <v>0</v>
      </c>
      <c r="H153" s="128">
        <f t="shared" si="43"/>
        <v>5696</v>
      </c>
    </row>
    <row r="154" spans="1:8" ht="12">
      <c r="A154" s="47">
        <v>191008</v>
      </c>
      <c r="B154" s="149" t="s">
        <v>77</v>
      </c>
      <c r="C154" s="71">
        <v>0</v>
      </c>
      <c r="D154" s="129">
        <v>0</v>
      </c>
      <c r="E154" s="129">
        <v>0</v>
      </c>
      <c r="F154" s="27">
        <f t="shared" si="41"/>
        <v>0</v>
      </c>
      <c r="G154" s="129">
        <v>0</v>
      </c>
      <c r="H154" s="128">
        <f t="shared" si="43"/>
        <v>0</v>
      </c>
    </row>
    <row r="155" spans="1:8" ht="12">
      <c r="A155" s="47">
        <v>191012</v>
      </c>
      <c r="B155" s="149" t="s">
        <v>78</v>
      </c>
      <c r="C155" s="71">
        <v>0</v>
      </c>
      <c r="D155" s="129">
        <v>0</v>
      </c>
      <c r="E155" s="129">
        <v>0</v>
      </c>
      <c r="F155" s="27">
        <f t="shared" si="41"/>
        <v>0</v>
      </c>
      <c r="G155" s="129">
        <v>0</v>
      </c>
      <c r="H155" s="128">
        <f t="shared" si="43"/>
        <v>0</v>
      </c>
    </row>
    <row r="156" spans="1:8" ht="12">
      <c r="A156" s="47">
        <v>191021</v>
      </c>
      <c r="B156" s="149" t="s">
        <v>79</v>
      </c>
      <c r="C156" s="71">
        <v>4945</v>
      </c>
      <c r="D156" s="129">
        <f>1616+253</f>
        <v>1869</v>
      </c>
      <c r="E156" s="129">
        <v>6561</v>
      </c>
      <c r="F156" s="27">
        <f t="shared" si="41"/>
        <v>253</v>
      </c>
      <c r="G156" s="129">
        <v>0</v>
      </c>
      <c r="H156" s="128">
        <f t="shared" si="43"/>
        <v>253</v>
      </c>
    </row>
    <row r="157" spans="1:8" ht="12">
      <c r="A157" s="47">
        <v>191022</v>
      </c>
      <c r="B157" s="147" t="s">
        <v>80</v>
      </c>
      <c r="C157" s="71">
        <v>5417</v>
      </c>
      <c r="D157" s="129">
        <v>0</v>
      </c>
      <c r="E157" s="129">
        <v>1323</v>
      </c>
      <c r="F157" s="27">
        <f t="shared" si="41"/>
        <v>4094</v>
      </c>
      <c r="G157" s="129">
        <v>0</v>
      </c>
      <c r="H157" s="128">
        <f t="shared" si="43"/>
        <v>4094</v>
      </c>
    </row>
    <row r="158" spans="1:8" ht="12">
      <c r="A158" s="47">
        <v>191023</v>
      </c>
      <c r="B158" s="147" t="s">
        <v>81</v>
      </c>
      <c r="C158" s="71">
        <v>0</v>
      </c>
      <c r="D158" s="129">
        <v>0</v>
      </c>
      <c r="E158" s="129">
        <v>0</v>
      </c>
      <c r="F158" s="27">
        <f t="shared" si="41"/>
        <v>0</v>
      </c>
      <c r="G158" s="129">
        <v>0</v>
      </c>
      <c r="H158" s="128">
        <f t="shared" si="43"/>
        <v>0</v>
      </c>
    </row>
    <row r="159" spans="1:8" ht="12">
      <c r="A159" s="47">
        <v>191026</v>
      </c>
      <c r="B159" s="147" t="s">
        <v>71</v>
      </c>
      <c r="C159" s="71">
        <v>770402</v>
      </c>
      <c r="D159" s="129">
        <v>148144</v>
      </c>
      <c r="E159" s="129">
        <v>64494</v>
      </c>
      <c r="F159" s="27">
        <f t="shared" si="41"/>
        <v>854052</v>
      </c>
      <c r="G159" s="129">
        <v>0</v>
      </c>
      <c r="H159" s="128">
        <f t="shared" si="43"/>
        <v>854052</v>
      </c>
    </row>
    <row r="160" spans="1:8" ht="12">
      <c r="A160" s="47">
        <v>191090</v>
      </c>
      <c r="B160" s="147" t="s">
        <v>82</v>
      </c>
      <c r="C160" s="71">
        <v>0</v>
      </c>
      <c r="D160" s="129">
        <v>0</v>
      </c>
      <c r="E160" s="129">
        <v>0</v>
      </c>
      <c r="F160" s="27">
        <f t="shared" si="41"/>
        <v>0</v>
      </c>
      <c r="G160" s="129">
        <v>0</v>
      </c>
      <c r="H160" s="128">
        <f t="shared" si="43"/>
        <v>0</v>
      </c>
    </row>
    <row r="161" spans="1:8" ht="12">
      <c r="A161" s="47">
        <v>191099</v>
      </c>
      <c r="B161" s="149" t="s">
        <v>28</v>
      </c>
      <c r="C161" s="71">
        <v>0</v>
      </c>
      <c r="D161" s="129">
        <v>0</v>
      </c>
      <c r="E161" s="129">
        <v>0</v>
      </c>
      <c r="F161" s="27">
        <f t="shared" si="41"/>
        <v>0</v>
      </c>
      <c r="G161" s="129">
        <v>0</v>
      </c>
      <c r="H161" s="128">
        <f t="shared" si="43"/>
        <v>0</v>
      </c>
    </row>
    <row r="162" spans="1:8" ht="12">
      <c r="A162" s="47">
        <v>191100</v>
      </c>
      <c r="B162" s="150" t="s">
        <v>83</v>
      </c>
      <c r="C162" s="69">
        <f aca="true" t="shared" si="44" ref="C162:H162">SUM(C163)</f>
        <v>118780549</v>
      </c>
      <c r="D162" s="126">
        <f t="shared" si="44"/>
        <v>0</v>
      </c>
      <c r="E162" s="126">
        <f t="shared" si="44"/>
        <v>0</v>
      </c>
      <c r="F162" s="126">
        <f t="shared" si="44"/>
        <v>118780549</v>
      </c>
      <c r="G162" s="126">
        <f t="shared" si="44"/>
        <v>0</v>
      </c>
      <c r="H162" s="127">
        <f t="shared" si="44"/>
        <v>118780549</v>
      </c>
    </row>
    <row r="163" spans="1:8" ht="12">
      <c r="A163" s="47">
        <v>191102</v>
      </c>
      <c r="B163" s="149" t="s">
        <v>84</v>
      </c>
      <c r="C163" s="71">
        <v>118780549</v>
      </c>
      <c r="D163" s="129">
        <v>0</v>
      </c>
      <c r="E163" s="129">
        <v>0</v>
      </c>
      <c r="F163" s="27">
        <f t="shared" si="41"/>
        <v>118780549</v>
      </c>
      <c r="G163" s="129">
        <v>0</v>
      </c>
      <c r="H163" s="128">
        <f t="shared" si="43"/>
        <v>118780549</v>
      </c>
    </row>
    <row r="164" spans="1:8" ht="12">
      <c r="A164" s="47">
        <v>192000</v>
      </c>
      <c r="B164" s="150" t="s">
        <v>85</v>
      </c>
      <c r="C164" s="69">
        <f aca="true" t="shared" si="45" ref="C164:H164">SUM(C165:C167)</f>
        <v>7726768</v>
      </c>
      <c r="D164" s="126">
        <f t="shared" si="45"/>
        <v>0</v>
      </c>
      <c r="E164" s="126">
        <f t="shared" si="45"/>
        <v>0</v>
      </c>
      <c r="F164" s="126">
        <f t="shared" si="45"/>
        <v>7726768</v>
      </c>
      <c r="G164" s="126">
        <f t="shared" si="45"/>
        <v>0</v>
      </c>
      <c r="H164" s="127">
        <f t="shared" si="45"/>
        <v>7726768</v>
      </c>
    </row>
    <row r="165" spans="1:8" ht="24">
      <c r="A165" s="47">
        <v>192002</v>
      </c>
      <c r="B165" s="149" t="s">
        <v>86</v>
      </c>
      <c r="C165" s="71">
        <v>7599116</v>
      </c>
      <c r="D165" s="129">
        <v>0</v>
      </c>
      <c r="E165" s="129">
        <v>0</v>
      </c>
      <c r="F165" s="27">
        <f t="shared" si="41"/>
        <v>7599116</v>
      </c>
      <c r="G165" s="126">
        <v>0</v>
      </c>
      <c r="H165" s="128">
        <f t="shared" si="43"/>
        <v>7599116</v>
      </c>
    </row>
    <row r="166" spans="1:8" ht="12">
      <c r="A166" s="47">
        <v>192005</v>
      </c>
      <c r="B166" s="149" t="s">
        <v>87</v>
      </c>
      <c r="C166" s="71">
        <v>127652</v>
      </c>
      <c r="D166" s="124">
        <v>0</v>
      </c>
      <c r="E166" s="124">
        <v>0</v>
      </c>
      <c r="F166" s="27">
        <f t="shared" si="41"/>
        <v>127652</v>
      </c>
      <c r="G166" s="124">
        <v>0</v>
      </c>
      <c r="H166" s="128">
        <f t="shared" si="43"/>
        <v>127652</v>
      </c>
    </row>
    <row r="167" spans="1:8" ht="12">
      <c r="A167" s="47">
        <v>192099</v>
      </c>
      <c r="B167" s="149" t="s">
        <v>28</v>
      </c>
      <c r="C167" s="71">
        <v>0</v>
      </c>
      <c r="D167" s="124">
        <v>0</v>
      </c>
      <c r="E167" s="124">
        <v>0</v>
      </c>
      <c r="F167" s="27">
        <f t="shared" si="41"/>
        <v>0</v>
      </c>
      <c r="G167" s="124">
        <v>0</v>
      </c>
      <c r="H167" s="128">
        <f t="shared" si="43"/>
        <v>0</v>
      </c>
    </row>
    <row r="168" spans="1:8" ht="12">
      <c r="A168" s="47">
        <v>192500</v>
      </c>
      <c r="B168" s="151" t="s">
        <v>88</v>
      </c>
      <c r="C168" s="60">
        <f aca="true" t="shared" si="46" ref="C168:H168">SUM(C169:C171)</f>
        <v>-10006</v>
      </c>
      <c r="D168" s="122">
        <f t="shared" si="46"/>
        <v>10483</v>
      </c>
      <c r="E168" s="122">
        <f t="shared" si="46"/>
        <v>10483</v>
      </c>
      <c r="F168" s="122">
        <f t="shared" si="46"/>
        <v>-10006</v>
      </c>
      <c r="G168" s="122">
        <f t="shared" si="46"/>
        <v>0</v>
      </c>
      <c r="H168" s="123">
        <f t="shared" si="46"/>
        <v>-10006</v>
      </c>
    </row>
    <row r="169" spans="1:8" ht="12">
      <c r="A169" s="47">
        <v>192505</v>
      </c>
      <c r="B169" s="149" t="s">
        <v>87</v>
      </c>
      <c r="C169" s="71">
        <v>-10006</v>
      </c>
      <c r="D169" s="124">
        <v>0</v>
      </c>
      <c r="E169" s="124">
        <v>0</v>
      </c>
      <c r="F169" s="27">
        <f>C169+D169-E169</f>
        <v>-10006</v>
      </c>
      <c r="G169" s="124">
        <v>0</v>
      </c>
      <c r="H169" s="128">
        <f t="shared" si="43"/>
        <v>-10006</v>
      </c>
    </row>
    <row r="170" spans="1:8" ht="12">
      <c r="A170" s="47">
        <v>192599</v>
      </c>
      <c r="B170" s="149" t="s">
        <v>89</v>
      </c>
      <c r="C170" s="62">
        <v>0</v>
      </c>
      <c r="D170" s="124">
        <v>0</v>
      </c>
      <c r="E170" s="124">
        <v>0</v>
      </c>
      <c r="F170" s="27">
        <f t="shared" si="41"/>
        <v>0</v>
      </c>
      <c r="G170" s="124">
        <v>0</v>
      </c>
      <c r="H170" s="128">
        <f t="shared" si="43"/>
        <v>0</v>
      </c>
    </row>
    <row r="171" spans="1:8" ht="12">
      <c r="A171" s="47">
        <v>194104</v>
      </c>
      <c r="B171" s="66" t="s">
        <v>90</v>
      </c>
      <c r="C171" s="62">
        <v>0</v>
      </c>
      <c r="D171" s="124">
        <v>10483</v>
      </c>
      <c r="E171" s="124">
        <v>10483</v>
      </c>
      <c r="F171" s="27">
        <f t="shared" si="41"/>
        <v>0</v>
      </c>
      <c r="G171" s="124">
        <v>0</v>
      </c>
      <c r="H171" s="128">
        <f t="shared" si="43"/>
        <v>0</v>
      </c>
    </row>
    <row r="172" spans="1:8" ht="12">
      <c r="A172" s="47">
        <v>195000</v>
      </c>
      <c r="B172" s="148" t="s">
        <v>91</v>
      </c>
      <c r="C172" s="69">
        <f aca="true" t="shared" si="47" ref="C172:H172">SUM(C173:C175)</f>
        <v>36026</v>
      </c>
      <c r="D172" s="126">
        <f t="shared" si="47"/>
        <v>0</v>
      </c>
      <c r="E172" s="126">
        <f t="shared" si="47"/>
        <v>0</v>
      </c>
      <c r="F172" s="126">
        <f t="shared" si="47"/>
        <v>36026</v>
      </c>
      <c r="G172" s="126">
        <f t="shared" si="47"/>
        <v>0</v>
      </c>
      <c r="H172" s="127">
        <f t="shared" si="47"/>
        <v>36026</v>
      </c>
    </row>
    <row r="173" spans="1:8" ht="12">
      <c r="A173" s="47">
        <v>195002</v>
      </c>
      <c r="B173" s="147" t="s">
        <v>92</v>
      </c>
      <c r="C173" s="71">
        <v>36026</v>
      </c>
      <c r="D173" s="129">
        <v>0</v>
      </c>
      <c r="E173" s="129">
        <v>0</v>
      </c>
      <c r="F173" s="27">
        <f t="shared" si="41"/>
        <v>36026</v>
      </c>
      <c r="G173" s="129">
        <v>0</v>
      </c>
      <c r="H173" s="128">
        <f t="shared" si="43"/>
        <v>36026</v>
      </c>
    </row>
    <row r="174" spans="1:8" ht="12">
      <c r="A174" s="47">
        <v>195003</v>
      </c>
      <c r="B174" s="147" t="s">
        <v>93</v>
      </c>
      <c r="C174" s="71">
        <v>0</v>
      </c>
      <c r="D174" s="124">
        <v>0</v>
      </c>
      <c r="E174" s="124">
        <v>0</v>
      </c>
      <c r="F174" s="27">
        <f t="shared" si="41"/>
        <v>0</v>
      </c>
      <c r="G174" s="124">
        <v>0</v>
      </c>
      <c r="H174" s="128">
        <f t="shared" si="43"/>
        <v>0</v>
      </c>
    </row>
    <row r="175" spans="1:8" ht="24">
      <c r="A175" s="47">
        <v>195004</v>
      </c>
      <c r="B175" s="147" t="s">
        <v>94</v>
      </c>
      <c r="C175" s="62">
        <v>0</v>
      </c>
      <c r="D175" s="124">
        <v>0</v>
      </c>
      <c r="E175" s="124">
        <v>0</v>
      </c>
      <c r="F175" s="27">
        <f t="shared" si="41"/>
        <v>0</v>
      </c>
      <c r="G175" s="124">
        <v>0</v>
      </c>
      <c r="H175" s="128">
        <f t="shared" si="43"/>
        <v>0</v>
      </c>
    </row>
    <row r="176" spans="1:8" ht="12">
      <c r="A176" s="47">
        <v>195500</v>
      </c>
      <c r="B176" s="148" t="s">
        <v>95</v>
      </c>
      <c r="C176" s="69">
        <f aca="true" t="shared" si="48" ref="C176:H176">SUM(C177:C179)</f>
        <v>-36026</v>
      </c>
      <c r="D176" s="126">
        <f t="shared" si="48"/>
        <v>0</v>
      </c>
      <c r="E176" s="126">
        <f t="shared" si="48"/>
        <v>0</v>
      </c>
      <c r="F176" s="126">
        <f t="shared" si="48"/>
        <v>-36026</v>
      </c>
      <c r="G176" s="126">
        <f t="shared" si="48"/>
        <v>0</v>
      </c>
      <c r="H176" s="127">
        <f t="shared" si="48"/>
        <v>-36026</v>
      </c>
    </row>
    <row r="177" spans="1:8" ht="12">
      <c r="A177" s="47">
        <v>195502</v>
      </c>
      <c r="B177" s="147" t="s">
        <v>92</v>
      </c>
      <c r="C177" s="71">
        <v>-36026</v>
      </c>
      <c r="D177" s="129">
        <f>+D173</f>
        <v>0</v>
      </c>
      <c r="E177" s="129">
        <f>+E173</f>
        <v>0</v>
      </c>
      <c r="F177" s="27">
        <f>C177+D177-E177</f>
        <v>-36026</v>
      </c>
      <c r="G177" s="129">
        <f>+G173</f>
        <v>0</v>
      </c>
      <c r="H177" s="128">
        <f t="shared" si="43"/>
        <v>-36026</v>
      </c>
    </row>
    <row r="178" spans="1:8" ht="12">
      <c r="A178" s="47">
        <v>195503</v>
      </c>
      <c r="B178" s="147" t="s">
        <v>96</v>
      </c>
      <c r="C178" s="71">
        <v>0</v>
      </c>
      <c r="D178" s="129">
        <f>+D174</f>
        <v>0</v>
      </c>
      <c r="E178" s="129">
        <f>+E174</f>
        <v>0</v>
      </c>
      <c r="F178" s="27">
        <f t="shared" si="41"/>
        <v>0</v>
      </c>
      <c r="G178" s="129">
        <f>+G174</f>
        <v>0</v>
      </c>
      <c r="H178" s="128">
        <f t="shared" si="43"/>
        <v>0</v>
      </c>
    </row>
    <row r="179" spans="1:8" ht="24">
      <c r="A179" s="47">
        <v>195504</v>
      </c>
      <c r="B179" s="147" t="s">
        <v>94</v>
      </c>
      <c r="C179" s="56">
        <v>0</v>
      </c>
      <c r="D179" s="129">
        <v>0</v>
      </c>
      <c r="E179" s="129">
        <v>0</v>
      </c>
      <c r="F179" s="27">
        <f t="shared" si="41"/>
        <v>0</v>
      </c>
      <c r="G179" s="129">
        <v>0</v>
      </c>
      <c r="H179" s="128">
        <f t="shared" si="43"/>
        <v>0</v>
      </c>
    </row>
    <row r="180" spans="1:8" ht="12">
      <c r="A180" s="47">
        <v>196000</v>
      </c>
      <c r="B180" s="148" t="s">
        <v>97</v>
      </c>
      <c r="C180" s="60">
        <f aca="true" t="shared" si="49" ref="C180:H180">SUM(C181:C182)</f>
        <v>0</v>
      </c>
      <c r="D180" s="122">
        <f t="shared" si="49"/>
        <v>0</v>
      </c>
      <c r="E180" s="122">
        <f t="shared" si="49"/>
        <v>0</v>
      </c>
      <c r="F180" s="122">
        <f t="shared" si="49"/>
        <v>0</v>
      </c>
      <c r="G180" s="122">
        <f t="shared" si="49"/>
        <v>0</v>
      </c>
      <c r="H180" s="123">
        <f t="shared" si="49"/>
        <v>0</v>
      </c>
    </row>
    <row r="181" spans="1:8" ht="12">
      <c r="A181" s="47">
        <v>196007</v>
      </c>
      <c r="B181" s="147" t="s">
        <v>98</v>
      </c>
      <c r="C181" s="62">
        <v>0</v>
      </c>
      <c r="D181" s="124">
        <v>0</v>
      </c>
      <c r="E181" s="124">
        <v>0</v>
      </c>
      <c r="F181" s="27">
        <f t="shared" si="41"/>
        <v>0</v>
      </c>
      <c r="G181" s="124">
        <v>0</v>
      </c>
      <c r="H181" s="128">
        <f t="shared" si="43"/>
        <v>0</v>
      </c>
    </row>
    <row r="182" spans="1:8" ht="12">
      <c r="A182" s="47">
        <v>196099</v>
      </c>
      <c r="B182" s="147" t="s">
        <v>99</v>
      </c>
      <c r="C182" s="62">
        <v>0</v>
      </c>
      <c r="D182" s="124">
        <v>0</v>
      </c>
      <c r="E182" s="124">
        <v>0</v>
      </c>
      <c r="F182" s="27">
        <f t="shared" si="41"/>
        <v>0</v>
      </c>
      <c r="G182" s="124">
        <v>0</v>
      </c>
      <c r="H182" s="128">
        <f t="shared" si="43"/>
        <v>0</v>
      </c>
    </row>
    <row r="183" spans="1:8" ht="12">
      <c r="A183" s="47">
        <v>196500</v>
      </c>
      <c r="B183" s="148" t="s">
        <v>100</v>
      </c>
      <c r="C183" s="69">
        <f aca="true" t="shared" si="50" ref="C183:H183">SUM(C184)</f>
        <v>0</v>
      </c>
      <c r="D183" s="126">
        <f t="shared" si="50"/>
        <v>0</v>
      </c>
      <c r="E183" s="126">
        <f t="shared" si="50"/>
        <v>0</v>
      </c>
      <c r="F183" s="126">
        <f t="shared" si="50"/>
        <v>0</v>
      </c>
      <c r="G183" s="126">
        <f t="shared" si="50"/>
        <v>0</v>
      </c>
      <c r="H183" s="127">
        <f t="shared" si="50"/>
        <v>0</v>
      </c>
    </row>
    <row r="184" spans="1:8" ht="12">
      <c r="A184" s="47">
        <v>196507</v>
      </c>
      <c r="B184" s="147" t="s">
        <v>98</v>
      </c>
      <c r="C184" s="71">
        <v>0</v>
      </c>
      <c r="D184" s="124">
        <v>0</v>
      </c>
      <c r="E184" s="124">
        <v>0</v>
      </c>
      <c r="F184" s="27">
        <f t="shared" si="41"/>
        <v>0</v>
      </c>
      <c r="G184" s="124">
        <v>0</v>
      </c>
      <c r="H184" s="128">
        <f t="shared" si="43"/>
        <v>0</v>
      </c>
    </row>
    <row r="185" spans="1:8" ht="12">
      <c r="A185" s="47">
        <v>197000</v>
      </c>
      <c r="B185" s="148" t="s">
        <v>101</v>
      </c>
      <c r="C185" s="60">
        <f aca="true" t="shared" si="51" ref="C185:H185">SUM(C186:C188)</f>
        <v>8168130</v>
      </c>
      <c r="D185" s="122">
        <f t="shared" si="51"/>
        <v>19419</v>
      </c>
      <c r="E185" s="122">
        <f t="shared" si="51"/>
        <v>0</v>
      </c>
      <c r="F185" s="122">
        <f t="shared" si="51"/>
        <v>8187549</v>
      </c>
      <c r="G185" s="122">
        <f t="shared" si="51"/>
        <v>0</v>
      </c>
      <c r="H185" s="123">
        <f t="shared" si="51"/>
        <v>8187549</v>
      </c>
    </row>
    <row r="186" spans="1:8" ht="12">
      <c r="A186" s="47">
        <v>197007</v>
      </c>
      <c r="B186" s="147" t="s">
        <v>102</v>
      </c>
      <c r="C186" s="62">
        <v>0</v>
      </c>
      <c r="D186" s="124">
        <v>0</v>
      </c>
      <c r="E186" s="124">
        <v>0</v>
      </c>
      <c r="F186" s="27">
        <f t="shared" si="41"/>
        <v>0</v>
      </c>
      <c r="G186" s="124">
        <v>0</v>
      </c>
      <c r="H186" s="128">
        <f t="shared" si="43"/>
        <v>0</v>
      </c>
    </row>
    <row r="187" spans="1:8" ht="12">
      <c r="A187" s="47">
        <v>197008</v>
      </c>
      <c r="B187" s="147" t="s">
        <v>103</v>
      </c>
      <c r="C187" s="62">
        <v>8168130</v>
      </c>
      <c r="D187" s="124">
        <v>19419</v>
      </c>
      <c r="E187" s="124">
        <v>0</v>
      </c>
      <c r="F187" s="27">
        <f t="shared" si="41"/>
        <v>8187549</v>
      </c>
      <c r="G187" s="124">
        <v>0</v>
      </c>
      <c r="H187" s="128">
        <f t="shared" si="43"/>
        <v>8187549</v>
      </c>
    </row>
    <row r="188" spans="1:8" ht="12">
      <c r="A188" s="47">
        <v>197099</v>
      </c>
      <c r="B188" s="147" t="s">
        <v>28</v>
      </c>
      <c r="C188" s="71">
        <v>0</v>
      </c>
      <c r="D188" s="124">
        <v>0</v>
      </c>
      <c r="E188" s="124">
        <v>0</v>
      </c>
      <c r="F188" s="27">
        <f t="shared" si="41"/>
        <v>0</v>
      </c>
      <c r="G188" s="124">
        <v>0</v>
      </c>
      <c r="H188" s="128">
        <f t="shared" si="43"/>
        <v>0</v>
      </c>
    </row>
    <row r="189" spans="1:8" ht="12">
      <c r="A189" s="47">
        <v>197500</v>
      </c>
      <c r="B189" s="148" t="s">
        <v>104</v>
      </c>
      <c r="C189" s="69">
        <f aca="true" t="shared" si="52" ref="C189:H189">SUM(C190:C192)</f>
        <v>-7562908</v>
      </c>
      <c r="D189" s="126">
        <f t="shared" si="52"/>
        <v>0</v>
      </c>
      <c r="E189" s="126">
        <f t="shared" si="52"/>
        <v>101812</v>
      </c>
      <c r="F189" s="126">
        <f t="shared" si="52"/>
        <v>-7664720</v>
      </c>
      <c r="G189" s="126">
        <f t="shared" si="52"/>
        <v>0</v>
      </c>
      <c r="H189" s="127">
        <f t="shared" si="52"/>
        <v>-7664720</v>
      </c>
    </row>
    <row r="190" spans="1:8" ht="12">
      <c r="A190" s="47">
        <v>197507</v>
      </c>
      <c r="B190" s="147" t="s">
        <v>102</v>
      </c>
      <c r="C190" s="56">
        <v>0</v>
      </c>
      <c r="D190" s="124">
        <v>0</v>
      </c>
      <c r="E190" s="124">
        <v>0</v>
      </c>
      <c r="F190" s="27">
        <f t="shared" si="41"/>
        <v>0</v>
      </c>
      <c r="G190" s="124">
        <v>0</v>
      </c>
      <c r="H190" s="128">
        <f t="shared" si="43"/>
        <v>0</v>
      </c>
    </row>
    <row r="191" spans="1:8" ht="12">
      <c r="A191" s="47">
        <v>197508</v>
      </c>
      <c r="B191" s="147" t="s">
        <v>103</v>
      </c>
      <c r="C191" s="56">
        <v>-7562908</v>
      </c>
      <c r="D191" s="124">
        <v>0</v>
      </c>
      <c r="E191" s="124">
        <f>101400+412</f>
        <v>101812</v>
      </c>
      <c r="F191" s="27">
        <f>C191+D191-E191</f>
        <v>-7664720</v>
      </c>
      <c r="G191" s="124">
        <v>0</v>
      </c>
      <c r="H191" s="128">
        <f t="shared" si="43"/>
        <v>-7664720</v>
      </c>
    </row>
    <row r="192" spans="1:8" ht="12">
      <c r="A192" s="47">
        <v>197599</v>
      </c>
      <c r="B192" s="147" t="s">
        <v>28</v>
      </c>
      <c r="C192" s="56">
        <v>0</v>
      </c>
      <c r="D192" s="124">
        <v>0</v>
      </c>
      <c r="E192" s="124">
        <v>0</v>
      </c>
      <c r="F192" s="27">
        <f t="shared" si="41"/>
        <v>0</v>
      </c>
      <c r="G192" s="124">
        <v>0</v>
      </c>
      <c r="H192" s="128">
        <f t="shared" si="43"/>
        <v>0</v>
      </c>
    </row>
    <row r="193" spans="1:8" ht="12">
      <c r="A193" s="47">
        <v>199500</v>
      </c>
      <c r="B193" s="148" t="s">
        <v>105</v>
      </c>
      <c r="C193" s="54">
        <f aca="true" t="shared" si="53" ref="C193:H193">SUM(C194:C202)</f>
        <v>0</v>
      </c>
      <c r="D193" s="118">
        <f t="shared" si="53"/>
        <v>232095355</v>
      </c>
      <c r="E193" s="118">
        <f t="shared" si="53"/>
        <v>232176872</v>
      </c>
      <c r="F193" s="118">
        <f t="shared" si="53"/>
        <v>-81517</v>
      </c>
      <c r="G193" s="118">
        <f t="shared" si="53"/>
        <v>0</v>
      </c>
      <c r="H193" s="119">
        <f t="shared" si="53"/>
        <v>-81517</v>
      </c>
    </row>
    <row r="194" spans="1:8" ht="12">
      <c r="A194" s="47">
        <v>199501</v>
      </c>
      <c r="B194" s="147" t="s">
        <v>106</v>
      </c>
      <c r="C194" s="56">
        <v>0</v>
      </c>
      <c r="D194" s="124">
        <v>232069078</v>
      </c>
      <c r="E194" s="124">
        <v>232060319</v>
      </c>
      <c r="F194" s="27">
        <f t="shared" si="41"/>
        <v>8759</v>
      </c>
      <c r="G194" s="124">
        <v>0</v>
      </c>
      <c r="H194" s="128">
        <f t="shared" si="43"/>
        <v>8759</v>
      </c>
    </row>
    <row r="195" spans="1:8" ht="12">
      <c r="A195" s="47">
        <v>199503</v>
      </c>
      <c r="B195" s="147" t="s">
        <v>107</v>
      </c>
      <c r="C195" s="56">
        <v>0</v>
      </c>
      <c r="D195" s="124">
        <v>0</v>
      </c>
      <c r="E195" s="124">
        <v>0</v>
      </c>
      <c r="F195" s="27">
        <f t="shared" si="41"/>
        <v>0</v>
      </c>
      <c r="G195" s="124">
        <v>0</v>
      </c>
      <c r="H195" s="128">
        <f t="shared" si="43"/>
        <v>0</v>
      </c>
    </row>
    <row r="196" spans="1:8" ht="12">
      <c r="A196" s="47">
        <v>199505</v>
      </c>
      <c r="B196" s="147" t="s">
        <v>108</v>
      </c>
      <c r="C196" s="56">
        <v>0</v>
      </c>
      <c r="D196" s="124">
        <v>0</v>
      </c>
      <c r="E196" s="124">
        <v>0</v>
      </c>
      <c r="F196" s="27">
        <f t="shared" si="41"/>
        <v>0</v>
      </c>
      <c r="G196" s="124">
        <v>0</v>
      </c>
      <c r="H196" s="128">
        <f t="shared" si="43"/>
        <v>0</v>
      </c>
    </row>
    <row r="197" spans="1:8" ht="12">
      <c r="A197" s="47">
        <v>199506</v>
      </c>
      <c r="B197" s="147" t="s">
        <v>109</v>
      </c>
      <c r="C197" s="56">
        <v>0</v>
      </c>
      <c r="D197" s="124">
        <v>0</v>
      </c>
      <c r="E197" s="124">
        <v>8759</v>
      </c>
      <c r="F197" s="27">
        <f t="shared" si="41"/>
        <v>-8759</v>
      </c>
      <c r="G197" s="124">
        <v>0</v>
      </c>
      <c r="H197" s="128">
        <f t="shared" si="43"/>
        <v>-8759</v>
      </c>
    </row>
    <row r="198" spans="1:8" ht="12">
      <c r="A198" s="47">
        <v>199507</v>
      </c>
      <c r="B198" s="64" t="s">
        <v>110</v>
      </c>
      <c r="C198" s="56">
        <v>0</v>
      </c>
      <c r="D198" s="124">
        <v>0</v>
      </c>
      <c r="E198" s="124">
        <v>81517</v>
      </c>
      <c r="F198" s="27">
        <f t="shared" si="41"/>
        <v>-81517</v>
      </c>
      <c r="G198" s="124">
        <v>0</v>
      </c>
      <c r="H198" s="128">
        <f t="shared" si="43"/>
        <v>-81517</v>
      </c>
    </row>
    <row r="199" spans="1:8" ht="12">
      <c r="A199" s="47">
        <v>199508</v>
      </c>
      <c r="B199" s="147" t="s">
        <v>111</v>
      </c>
      <c r="C199" s="56">
        <v>0</v>
      </c>
      <c r="D199" s="124">
        <v>0</v>
      </c>
      <c r="E199" s="124">
        <v>0</v>
      </c>
      <c r="F199" s="27">
        <f t="shared" si="41"/>
        <v>0</v>
      </c>
      <c r="G199" s="124">
        <v>0</v>
      </c>
      <c r="H199" s="128">
        <f t="shared" si="43"/>
        <v>0</v>
      </c>
    </row>
    <row r="200" spans="1:8" ht="12">
      <c r="A200" s="47">
        <v>199509</v>
      </c>
      <c r="B200" s="147" t="s">
        <v>112</v>
      </c>
      <c r="C200" s="56">
        <v>0</v>
      </c>
      <c r="D200" s="124">
        <v>0</v>
      </c>
      <c r="E200" s="124">
        <v>0</v>
      </c>
      <c r="F200" s="27">
        <f t="shared" si="41"/>
        <v>0</v>
      </c>
      <c r="G200" s="124">
        <v>0</v>
      </c>
      <c r="H200" s="128">
        <f t="shared" si="43"/>
        <v>0</v>
      </c>
    </row>
    <row r="201" spans="1:8" ht="12">
      <c r="A201" s="47">
        <v>199510</v>
      </c>
      <c r="B201" s="147" t="s">
        <v>113</v>
      </c>
      <c r="C201" s="56">
        <v>0</v>
      </c>
      <c r="D201" s="124">
        <v>17518</v>
      </c>
      <c r="E201" s="124">
        <v>8759</v>
      </c>
      <c r="F201" s="27">
        <f t="shared" si="41"/>
        <v>8759</v>
      </c>
      <c r="G201" s="124">
        <v>0</v>
      </c>
      <c r="H201" s="128">
        <f t="shared" si="43"/>
        <v>8759</v>
      </c>
    </row>
    <row r="202" spans="1:8" ht="12">
      <c r="A202" s="47">
        <v>199511</v>
      </c>
      <c r="B202" s="147" t="s">
        <v>114</v>
      </c>
      <c r="C202" s="56">
        <v>0</v>
      </c>
      <c r="D202" s="124">
        <v>8759</v>
      </c>
      <c r="E202" s="124">
        <v>17518</v>
      </c>
      <c r="F202" s="27">
        <f t="shared" si="41"/>
        <v>-8759</v>
      </c>
      <c r="G202" s="124">
        <v>0</v>
      </c>
      <c r="H202" s="128">
        <f t="shared" si="43"/>
        <v>-8759</v>
      </c>
    </row>
    <row r="203" spans="1:8" ht="24">
      <c r="A203" s="47">
        <v>199600</v>
      </c>
      <c r="B203" s="148" t="s">
        <v>115</v>
      </c>
      <c r="C203" s="54">
        <f aca="true" t="shared" si="54" ref="C203:H203">SUM(C204:C207)</f>
        <v>599172</v>
      </c>
      <c r="D203" s="118">
        <f t="shared" si="54"/>
        <v>0</v>
      </c>
      <c r="E203" s="118">
        <f t="shared" si="54"/>
        <v>58923</v>
      </c>
      <c r="F203" s="118">
        <f t="shared" si="54"/>
        <v>540249</v>
      </c>
      <c r="G203" s="118">
        <f t="shared" si="54"/>
        <v>0</v>
      </c>
      <c r="H203" s="119">
        <f t="shared" si="54"/>
        <v>540249</v>
      </c>
    </row>
    <row r="204" spans="1:8" ht="12">
      <c r="A204" s="47">
        <v>199601</v>
      </c>
      <c r="B204" s="147" t="s">
        <v>116</v>
      </c>
      <c r="C204" s="56">
        <v>313</v>
      </c>
      <c r="D204" s="124">
        <v>0</v>
      </c>
      <c r="E204" s="124">
        <v>313</v>
      </c>
      <c r="F204" s="27">
        <f t="shared" si="41"/>
        <v>0</v>
      </c>
      <c r="G204" s="124">
        <v>0</v>
      </c>
      <c r="H204" s="128">
        <f t="shared" si="43"/>
        <v>0</v>
      </c>
    </row>
    <row r="205" spans="1:8" ht="12">
      <c r="A205" s="47">
        <v>199603</v>
      </c>
      <c r="B205" s="147" t="s">
        <v>117</v>
      </c>
      <c r="C205" s="56">
        <v>150902</v>
      </c>
      <c r="D205" s="124">
        <v>0</v>
      </c>
      <c r="E205" s="124">
        <v>58610</v>
      </c>
      <c r="F205" s="27">
        <f t="shared" si="41"/>
        <v>92292</v>
      </c>
      <c r="G205" s="124">
        <v>0</v>
      </c>
      <c r="H205" s="128">
        <f t="shared" si="43"/>
        <v>92292</v>
      </c>
    </row>
    <row r="206" spans="1:8" ht="12">
      <c r="A206" s="47">
        <v>199604</v>
      </c>
      <c r="B206" s="147" t="s">
        <v>118</v>
      </c>
      <c r="C206" s="56">
        <v>447957</v>
      </c>
      <c r="D206" s="124">
        <v>0</v>
      </c>
      <c r="E206" s="124">
        <v>0</v>
      </c>
      <c r="F206" s="27">
        <f t="shared" si="41"/>
        <v>447957</v>
      </c>
      <c r="G206" s="124">
        <v>0</v>
      </c>
      <c r="H206" s="128">
        <f t="shared" si="43"/>
        <v>447957</v>
      </c>
    </row>
    <row r="207" spans="1:8" ht="12">
      <c r="A207" s="47">
        <v>199690</v>
      </c>
      <c r="B207" s="147" t="s">
        <v>119</v>
      </c>
      <c r="C207" s="56">
        <v>0</v>
      </c>
      <c r="D207" s="124">
        <v>0</v>
      </c>
      <c r="E207" s="124">
        <v>0</v>
      </c>
      <c r="F207" s="27">
        <f t="shared" si="41"/>
        <v>0</v>
      </c>
      <c r="G207" s="124">
        <v>0</v>
      </c>
      <c r="H207" s="128">
        <f t="shared" si="43"/>
        <v>0</v>
      </c>
    </row>
    <row r="208" spans="1:8" ht="24">
      <c r="A208" s="47">
        <v>199700</v>
      </c>
      <c r="B208" s="148" t="s">
        <v>120</v>
      </c>
      <c r="C208" s="56">
        <f aca="true" t="shared" si="55" ref="C208:H208">SUM(C209)</f>
        <v>0</v>
      </c>
      <c r="D208" s="121">
        <f t="shared" si="55"/>
        <v>0</v>
      </c>
      <c r="E208" s="121">
        <f t="shared" si="55"/>
        <v>0</v>
      </c>
      <c r="F208" s="121">
        <f t="shared" si="55"/>
        <v>0</v>
      </c>
      <c r="G208" s="121">
        <f t="shared" si="55"/>
        <v>0</v>
      </c>
      <c r="H208" s="120">
        <f t="shared" si="55"/>
        <v>0</v>
      </c>
    </row>
    <row r="209" spans="1:8" ht="12">
      <c r="A209" s="47">
        <v>199701</v>
      </c>
      <c r="B209" s="147" t="s">
        <v>116</v>
      </c>
      <c r="C209" s="56">
        <v>0</v>
      </c>
      <c r="D209" s="124">
        <v>0</v>
      </c>
      <c r="E209" s="124">
        <v>0</v>
      </c>
      <c r="F209" s="27">
        <f>+C209+D209-E209</f>
        <v>0</v>
      </c>
      <c r="G209" s="124">
        <v>0</v>
      </c>
      <c r="H209" s="128">
        <f t="shared" si="43"/>
        <v>0</v>
      </c>
    </row>
    <row r="210" spans="1:8" ht="12">
      <c r="A210" s="47">
        <v>199900</v>
      </c>
      <c r="B210" s="148" t="s">
        <v>121</v>
      </c>
      <c r="C210" s="54">
        <f aca="true" t="shared" si="56" ref="C210:H210">SUM(C211:C218)</f>
        <v>3372604</v>
      </c>
      <c r="D210" s="118">
        <f t="shared" si="56"/>
        <v>0</v>
      </c>
      <c r="E210" s="118">
        <f t="shared" si="56"/>
        <v>0</v>
      </c>
      <c r="F210" s="118">
        <f t="shared" si="56"/>
        <v>3372604</v>
      </c>
      <c r="G210" s="118">
        <f t="shared" si="56"/>
        <v>0</v>
      </c>
      <c r="H210" s="119">
        <f t="shared" si="56"/>
        <v>3372604</v>
      </c>
    </row>
    <row r="211" spans="1:8" ht="12">
      <c r="A211" s="47">
        <v>199951</v>
      </c>
      <c r="B211" s="147" t="s">
        <v>122</v>
      </c>
      <c r="C211" s="56">
        <v>2923</v>
      </c>
      <c r="D211" s="116">
        <v>0</v>
      </c>
      <c r="E211" s="116">
        <v>0</v>
      </c>
      <c r="F211" s="27">
        <f aca="true" t="shared" si="57" ref="F211:F218">+C211+D211-E211</f>
        <v>2923</v>
      </c>
      <c r="G211" s="116">
        <v>0</v>
      </c>
      <c r="H211" s="128">
        <f t="shared" si="43"/>
        <v>2923</v>
      </c>
    </row>
    <row r="212" spans="1:8" ht="12">
      <c r="A212" s="47">
        <v>199952</v>
      </c>
      <c r="B212" s="147" t="s">
        <v>123</v>
      </c>
      <c r="C212" s="56">
        <v>976340</v>
      </c>
      <c r="D212" s="124">
        <v>0</v>
      </c>
      <c r="E212" s="124">
        <v>0</v>
      </c>
      <c r="F212" s="27">
        <f t="shared" si="57"/>
        <v>976340</v>
      </c>
      <c r="G212" s="124">
        <v>0</v>
      </c>
      <c r="H212" s="128">
        <f t="shared" si="43"/>
        <v>976340</v>
      </c>
    </row>
    <row r="213" spans="1:8" ht="12">
      <c r="A213" s="47">
        <v>199959</v>
      </c>
      <c r="B213" s="147" t="s">
        <v>124</v>
      </c>
      <c r="C213" s="56">
        <v>0</v>
      </c>
      <c r="D213" s="124">
        <v>0</v>
      </c>
      <c r="E213" s="124">
        <v>0</v>
      </c>
      <c r="F213" s="27">
        <f t="shared" si="57"/>
        <v>0</v>
      </c>
      <c r="G213" s="124">
        <v>0</v>
      </c>
      <c r="H213" s="128">
        <f t="shared" si="43"/>
        <v>0</v>
      </c>
    </row>
    <row r="214" spans="1:8" ht="12">
      <c r="A214" s="47">
        <v>199962</v>
      </c>
      <c r="B214" s="147" t="s">
        <v>61</v>
      </c>
      <c r="C214" s="56">
        <v>2393341</v>
      </c>
      <c r="D214" s="124">
        <v>0</v>
      </c>
      <c r="E214" s="124">
        <v>0</v>
      </c>
      <c r="F214" s="27">
        <f t="shared" si="57"/>
        <v>2393341</v>
      </c>
      <c r="G214" s="124">
        <v>0</v>
      </c>
      <c r="H214" s="128">
        <f>+F214</f>
        <v>2393341</v>
      </c>
    </row>
    <row r="215" spans="1:8" ht="12">
      <c r="A215" s="47">
        <v>199968</v>
      </c>
      <c r="B215" s="147" t="s">
        <v>125</v>
      </c>
      <c r="C215" s="56">
        <v>0</v>
      </c>
      <c r="D215" s="124">
        <v>0</v>
      </c>
      <c r="E215" s="124">
        <v>0</v>
      </c>
      <c r="F215" s="27">
        <f t="shared" si="57"/>
        <v>0</v>
      </c>
      <c r="G215" s="124">
        <v>0</v>
      </c>
      <c r="H215" s="128">
        <f>+F215</f>
        <v>0</v>
      </c>
    </row>
    <row r="216" spans="1:8" ht="12">
      <c r="A216" s="47">
        <v>199969</v>
      </c>
      <c r="B216" s="147" t="s">
        <v>126</v>
      </c>
      <c r="C216" s="56">
        <v>0</v>
      </c>
      <c r="D216" s="124">
        <v>0</v>
      </c>
      <c r="E216" s="124">
        <v>0</v>
      </c>
      <c r="F216" s="27">
        <f t="shared" si="57"/>
        <v>0</v>
      </c>
      <c r="G216" s="124">
        <v>0</v>
      </c>
      <c r="H216" s="128">
        <f>+F216</f>
        <v>0</v>
      </c>
    </row>
    <row r="217" spans="1:8" ht="12">
      <c r="A217" s="47">
        <v>199970</v>
      </c>
      <c r="B217" s="147" t="s">
        <v>127</v>
      </c>
      <c r="C217" s="56">
        <v>0</v>
      </c>
      <c r="D217" s="124">
        <v>0</v>
      </c>
      <c r="E217" s="124">
        <v>0</v>
      </c>
      <c r="F217" s="27">
        <f t="shared" si="57"/>
        <v>0</v>
      </c>
      <c r="G217" s="124">
        <v>0</v>
      </c>
      <c r="H217" s="128">
        <f>+F217</f>
        <v>0</v>
      </c>
    </row>
    <row r="218" spans="1:8" ht="24">
      <c r="A218" s="47">
        <v>199971</v>
      </c>
      <c r="B218" s="147" t="s">
        <v>128</v>
      </c>
      <c r="C218" s="56">
        <v>0</v>
      </c>
      <c r="D218" s="124">
        <v>0</v>
      </c>
      <c r="E218" s="124">
        <v>0</v>
      </c>
      <c r="F218" s="27">
        <f t="shared" si="57"/>
        <v>0</v>
      </c>
      <c r="G218" s="124">
        <v>0</v>
      </c>
      <c r="H218" s="128">
        <f>+F218</f>
        <v>0</v>
      </c>
    </row>
    <row r="219" spans="1:8" ht="12">
      <c r="A219" s="47">
        <v>200000</v>
      </c>
      <c r="B219" s="148" t="s">
        <v>129</v>
      </c>
      <c r="C219" s="60">
        <f aca="true" t="shared" si="58" ref="C219:H219">C220+C223+C282+C291+C302</f>
        <v>2488422539</v>
      </c>
      <c r="D219" s="122">
        <f t="shared" si="58"/>
        <v>6231419777</v>
      </c>
      <c r="E219" s="122">
        <f t="shared" si="58"/>
        <v>4601190843</v>
      </c>
      <c r="F219" s="122">
        <f t="shared" si="58"/>
        <v>858193605</v>
      </c>
      <c r="G219" s="122">
        <f t="shared" si="58"/>
        <v>858193605</v>
      </c>
      <c r="H219" s="123">
        <f t="shared" si="58"/>
        <v>0</v>
      </c>
    </row>
    <row r="220" spans="1:8" ht="12">
      <c r="A220" s="47">
        <v>220000</v>
      </c>
      <c r="B220" s="148" t="s">
        <v>130</v>
      </c>
      <c r="C220" s="60">
        <f aca="true" t="shared" si="59" ref="C220:H220">C221</f>
        <v>27433525</v>
      </c>
      <c r="D220" s="60">
        <f t="shared" si="59"/>
        <v>0</v>
      </c>
      <c r="E220" s="60">
        <f t="shared" si="59"/>
        <v>0</v>
      </c>
      <c r="F220" s="60">
        <f t="shared" si="59"/>
        <v>27433525</v>
      </c>
      <c r="G220" s="60">
        <f t="shared" si="59"/>
        <v>27433525</v>
      </c>
      <c r="H220" s="61">
        <f t="shared" si="59"/>
        <v>0</v>
      </c>
    </row>
    <row r="221" spans="1:8" ht="24">
      <c r="A221" s="47">
        <v>224600</v>
      </c>
      <c r="B221" s="148" t="s">
        <v>131</v>
      </c>
      <c r="C221" s="60">
        <f aca="true" t="shared" si="60" ref="C221:H221">SUM(C222)</f>
        <v>27433525</v>
      </c>
      <c r="D221" s="122">
        <f t="shared" si="60"/>
        <v>0</v>
      </c>
      <c r="E221" s="122">
        <f t="shared" si="60"/>
        <v>0</v>
      </c>
      <c r="F221" s="122">
        <f t="shared" si="60"/>
        <v>27433525</v>
      </c>
      <c r="G221" s="122">
        <f t="shared" si="60"/>
        <v>27433525</v>
      </c>
      <c r="H221" s="123">
        <f t="shared" si="60"/>
        <v>0</v>
      </c>
    </row>
    <row r="222" spans="1:8" ht="12">
      <c r="A222" s="47">
        <v>224625</v>
      </c>
      <c r="B222" s="147" t="s">
        <v>132</v>
      </c>
      <c r="C222" s="71">
        <v>27433525</v>
      </c>
      <c r="D222" s="124">
        <v>0</v>
      </c>
      <c r="E222" s="124">
        <v>0</v>
      </c>
      <c r="F222" s="27">
        <f>+C222+D222-E222</f>
        <v>27433525</v>
      </c>
      <c r="G222" s="124">
        <f>+F222</f>
        <v>27433525</v>
      </c>
      <c r="H222" s="123">
        <v>0</v>
      </c>
    </row>
    <row r="223" spans="1:8" ht="12">
      <c r="A223" s="47">
        <v>240000</v>
      </c>
      <c r="B223" s="148" t="s">
        <v>133</v>
      </c>
      <c r="C223" s="60">
        <f aca="true" t="shared" si="61" ref="C223:H223">C224+C227+C236+C256+C258+C269+C271+C277+C280</f>
        <v>803108481</v>
      </c>
      <c r="D223" s="60">
        <f t="shared" si="61"/>
        <v>2914356785</v>
      </c>
      <c r="E223" s="60">
        <f t="shared" si="61"/>
        <v>2940590569</v>
      </c>
      <c r="F223" s="60">
        <f t="shared" si="61"/>
        <v>829342265</v>
      </c>
      <c r="G223" s="60">
        <f t="shared" si="61"/>
        <v>829342265</v>
      </c>
      <c r="H223" s="61">
        <f t="shared" si="61"/>
        <v>0</v>
      </c>
    </row>
    <row r="224" spans="1:8" ht="12">
      <c r="A224" s="47">
        <v>240100</v>
      </c>
      <c r="B224" s="148" t="s">
        <v>134</v>
      </c>
      <c r="C224" s="60">
        <f aca="true" t="shared" si="62" ref="C224:H224">SUM(C225:C226)</f>
        <v>345448</v>
      </c>
      <c r="D224" s="122">
        <f t="shared" si="62"/>
        <v>80363287</v>
      </c>
      <c r="E224" s="122">
        <f t="shared" si="62"/>
        <v>80691884</v>
      </c>
      <c r="F224" s="122">
        <f t="shared" si="62"/>
        <v>674045</v>
      </c>
      <c r="G224" s="122">
        <f t="shared" si="62"/>
        <v>674045</v>
      </c>
      <c r="H224" s="123">
        <f t="shared" si="62"/>
        <v>0</v>
      </c>
    </row>
    <row r="225" spans="1:8" ht="12">
      <c r="A225" s="47">
        <v>240101</v>
      </c>
      <c r="B225" s="147" t="s">
        <v>135</v>
      </c>
      <c r="C225" s="71">
        <f>345448</f>
        <v>345448</v>
      </c>
      <c r="D225" s="129">
        <f>531662+1168209+79507</f>
        <v>1779378</v>
      </c>
      <c r="E225" s="129">
        <f>468924+983213+123339+61</f>
        <v>1575537</v>
      </c>
      <c r="F225" s="27">
        <f>C225-D225+E225</f>
        <v>141607</v>
      </c>
      <c r="G225" s="124">
        <f aca="true" t="shared" si="63" ref="G225:G281">+F225</f>
        <v>141607</v>
      </c>
      <c r="H225" s="128">
        <v>0</v>
      </c>
    </row>
    <row r="226" spans="1:8" ht="12">
      <c r="A226" s="47">
        <v>240102</v>
      </c>
      <c r="B226" s="147" t="s">
        <v>136</v>
      </c>
      <c r="C226" s="71">
        <v>0</v>
      </c>
      <c r="D226" s="124">
        <v>78583909</v>
      </c>
      <c r="E226" s="124">
        <v>79116347</v>
      </c>
      <c r="F226" s="27">
        <f>C226-D226+E226</f>
        <v>532438</v>
      </c>
      <c r="G226" s="124">
        <f t="shared" si="63"/>
        <v>532438</v>
      </c>
      <c r="H226" s="128">
        <v>0</v>
      </c>
    </row>
    <row r="227" spans="1:8" ht="12">
      <c r="A227" s="47">
        <v>240300</v>
      </c>
      <c r="B227" s="148" t="s">
        <v>137</v>
      </c>
      <c r="C227" s="60">
        <f aca="true" t="shared" si="64" ref="C227:H227">SUM(C228:C235)</f>
        <v>801452808</v>
      </c>
      <c r="D227" s="122">
        <f t="shared" si="64"/>
        <v>2823504918</v>
      </c>
      <c r="E227" s="122">
        <f t="shared" si="64"/>
        <v>2849039080</v>
      </c>
      <c r="F227" s="122">
        <f t="shared" si="64"/>
        <v>826986970</v>
      </c>
      <c r="G227" s="122">
        <f t="shared" si="64"/>
        <v>826986970</v>
      </c>
      <c r="H227" s="123">
        <f t="shared" si="64"/>
        <v>0</v>
      </c>
    </row>
    <row r="228" spans="1:8" ht="12">
      <c r="A228" s="47">
        <v>240303</v>
      </c>
      <c r="B228" s="147" t="s">
        <v>138</v>
      </c>
      <c r="C228" s="62">
        <v>0</v>
      </c>
      <c r="D228" s="124"/>
      <c r="E228" s="124"/>
      <c r="F228" s="27">
        <f>C228-D228+E228</f>
        <v>0</v>
      </c>
      <c r="G228" s="124">
        <f t="shared" si="63"/>
        <v>0</v>
      </c>
      <c r="H228" s="125">
        <v>0</v>
      </c>
    </row>
    <row r="229" spans="1:8" ht="12">
      <c r="A229" s="47">
        <v>240304</v>
      </c>
      <c r="B229" s="147" t="s">
        <v>139</v>
      </c>
      <c r="C229" s="62">
        <v>83556220</v>
      </c>
      <c r="D229" s="124">
        <v>666833157</v>
      </c>
      <c r="E229" s="124">
        <v>665870658</v>
      </c>
      <c r="F229" s="27">
        <f>C229-D229+E229</f>
        <v>82593721</v>
      </c>
      <c r="G229" s="124">
        <f t="shared" si="63"/>
        <v>82593721</v>
      </c>
      <c r="H229" s="125">
        <v>0</v>
      </c>
    </row>
    <row r="230" spans="1:8" ht="24">
      <c r="A230" s="47">
        <v>240305</v>
      </c>
      <c r="B230" s="147" t="s">
        <v>140</v>
      </c>
      <c r="C230" s="62">
        <v>1899</v>
      </c>
      <c r="D230" s="124">
        <f>628865+276634</f>
        <v>905499</v>
      </c>
      <c r="E230" s="124">
        <f>635459+275988</f>
        <v>911447</v>
      </c>
      <c r="F230" s="27">
        <f>C230-D230+E230</f>
        <v>7847</v>
      </c>
      <c r="G230" s="124">
        <f t="shared" si="63"/>
        <v>7847</v>
      </c>
      <c r="H230" s="125">
        <v>0</v>
      </c>
    </row>
    <row r="231" spans="1:8" ht="12">
      <c r="A231" s="47">
        <v>240307</v>
      </c>
      <c r="B231" s="147" t="s">
        <v>141</v>
      </c>
      <c r="C231" s="62">
        <v>0</v>
      </c>
      <c r="D231" s="124">
        <v>0</v>
      </c>
      <c r="E231" s="124">
        <v>0</v>
      </c>
      <c r="F231" s="27">
        <f>+C231+D231-E231</f>
        <v>0</v>
      </c>
      <c r="G231" s="124">
        <f t="shared" si="63"/>
        <v>0</v>
      </c>
      <c r="H231" s="125">
        <v>0</v>
      </c>
    </row>
    <row r="232" spans="1:8" ht="24">
      <c r="A232" s="47">
        <v>240308</v>
      </c>
      <c r="B232" s="147" t="s">
        <v>142</v>
      </c>
      <c r="C232" s="62">
        <v>0</v>
      </c>
      <c r="D232" s="124">
        <v>0</v>
      </c>
      <c r="E232" s="124">
        <v>0</v>
      </c>
      <c r="F232" s="27">
        <f>+C232+D232-E232</f>
        <v>0</v>
      </c>
      <c r="G232" s="124">
        <f t="shared" si="63"/>
        <v>0</v>
      </c>
      <c r="H232" s="125">
        <v>0</v>
      </c>
    </row>
    <row r="233" spans="1:8" ht="12">
      <c r="A233" s="47">
        <v>240311</v>
      </c>
      <c r="B233" s="64" t="s">
        <v>143</v>
      </c>
      <c r="C233" s="62">
        <v>0</v>
      </c>
      <c r="D233" s="124">
        <v>635710</v>
      </c>
      <c r="E233" s="124">
        <v>635710</v>
      </c>
      <c r="F233" s="27">
        <f>+C233+D233-E233</f>
        <v>0</v>
      </c>
      <c r="G233" s="124">
        <f t="shared" si="63"/>
        <v>0</v>
      </c>
      <c r="H233" s="125">
        <v>0</v>
      </c>
    </row>
    <row r="234" spans="1:8" ht="12">
      <c r="A234" s="47">
        <v>240313</v>
      </c>
      <c r="B234" s="147" t="s">
        <v>143</v>
      </c>
      <c r="C234" s="62">
        <v>0</v>
      </c>
      <c r="D234" s="124">
        <v>0</v>
      </c>
      <c r="E234" s="124">
        <v>0</v>
      </c>
      <c r="F234" s="27">
        <f>+C234+D234-E234</f>
        <v>0</v>
      </c>
      <c r="G234" s="124">
        <f t="shared" si="63"/>
        <v>0</v>
      </c>
      <c r="H234" s="125">
        <v>0</v>
      </c>
    </row>
    <row r="235" spans="1:8" ht="12">
      <c r="A235" s="47">
        <v>240314</v>
      </c>
      <c r="B235" s="147" t="s">
        <v>144</v>
      </c>
      <c r="C235" s="62">
        <v>717894689</v>
      </c>
      <c r="D235" s="124">
        <v>2155130552</v>
      </c>
      <c r="E235" s="124">
        <v>2181621265</v>
      </c>
      <c r="F235" s="27">
        <f>C235-D235+E235</f>
        <v>744385402</v>
      </c>
      <c r="G235" s="124">
        <f t="shared" si="63"/>
        <v>744385402</v>
      </c>
      <c r="H235" s="125">
        <v>0</v>
      </c>
    </row>
    <row r="236" spans="1:8" ht="12">
      <c r="A236" s="47">
        <v>242500</v>
      </c>
      <c r="B236" s="148" t="s">
        <v>145</v>
      </c>
      <c r="C236" s="69">
        <f aca="true" t="shared" si="65" ref="C236:H236">SUM(C237:C255)</f>
        <v>357565</v>
      </c>
      <c r="D236" s="126">
        <f t="shared" si="65"/>
        <v>1965503</v>
      </c>
      <c r="E236" s="126">
        <f t="shared" si="65"/>
        <v>1703477</v>
      </c>
      <c r="F236" s="126">
        <f t="shared" si="65"/>
        <v>95539</v>
      </c>
      <c r="G236" s="126">
        <f t="shared" si="65"/>
        <v>95539</v>
      </c>
      <c r="H236" s="127">
        <f t="shared" si="65"/>
        <v>0</v>
      </c>
    </row>
    <row r="237" spans="1:8" ht="12">
      <c r="A237" s="47">
        <v>242501</v>
      </c>
      <c r="B237" s="147" t="s">
        <v>146</v>
      </c>
      <c r="C237" s="71">
        <v>31354</v>
      </c>
      <c r="D237" s="124">
        <f>266681+243802</f>
        <v>510483</v>
      </c>
      <c r="E237" s="124">
        <f>272061+245751</f>
        <v>517812</v>
      </c>
      <c r="F237" s="27">
        <f>C237-D237+E237</f>
        <v>38683</v>
      </c>
      <c r="G237" s="124">
        <f t="shared" si="63"/>
        <v>38683</v>
      </c>
      <c r="H237" s="128">
        <v>0</v>
      </c>
    </row>
    <row r="238" spans="1:8" ht="12">
      <c r="A238" s="47">
        <v>242504</v>
      </c>
      <c r="B238" s="147" t="s">
        <v>147</v>
      </c>
      <c r="C238" s="71">
        <v>18</v>
      </c>
      <c r="D238" s="124">
        <f>150008+12150</f>
        <v>162158</v>
      </c>
      <c r="E238" s="124">
        <f>150008+12472</f>
        <v>162480</v>
      </c>
      <c r="F238" s="27">
        <f>C238+E238-D238</f>
        <v>340</v>
      </c>
      <c r="G238" s="124">
        <f t="shared" si="63"/>
        <v>340</v>
      </c>
      <c r="H238" s="128">
        <v>0</v>
      </c>
    </row>
    <row r="239" spans="1:8" ht="12">
      <c r="A239" s="47">
        <v>242507</v>
      </c>
      <c r="B239" s="147" t="s">
        <v>0</v>
      </c>
      <c r="C239" s="71">
        <v>0</v>
      </c>
      <c r="D239" s="124">
        <v>0</v>
      </c>
      <c r="E239" s="124">
        <v>0</v>
      </c>
      <c r="F239" s="27">
        <f>+C239+D239-E239</f>
        <v>0</v>
      </c>
      <c r="G239" s="124">
        <f t="shared" si="63"/>
        <v>0</v>
      </c>
      <c r="H239" s="128">
        <v>0</v>
      </c>
    </row>
    <row r="240" spans="1:8" ht="12">
      <c r="A240" s="47">
        <v>242508</v>
      </c>
      <c r="B240" s="147" t="s">
        <v>148</v>
      </c>
      <c r="C240" s="71">
        <v>1057</v>
      </c>
      <c r="D240" s="124">
        <v>2736</v>
      </c>
      <c r="E240" s="124">
        <v>2736</v>
      </c>
      <c r="F240" s="27">
        <f>C240+E240-D240</f>
        <v>1057</v>
      </c>
      <c r="G240" s="124">
        <f t="shared" si="63"/>
        <v>1057</v>
      </c>
      <c r="H240" s="128">
        <v>0</v>
      </c>
    </row>
    <row r="241" spans="1:8" ht="12">
      <c r="A241" s="47">
        <v>242510</v>
      </c>
      <c r="B241" s="147" t="s">
        <v>68</v>
      </c>
      <c r="C241" s="71">
        <v>0</v>
      </c>
      <c r="D241" s="124">
        <v>0</v>
      </c>
      <c r="E241" s="124">
        <v>0</v>
      </c>
      <c r="F241" s="27">
        <f>+C241+D241-E241</f>
        <v>0</v>
      </c>
      <c r="G241" s="124">
        <f t="shared" si="63"/>
        <v>0</v>
      </c>
      <c r="H241" s="128">
        <v>0</v>
      </c>
    </row>
    <row r="242" spans="1:8" ht="12">
      <c r="A242" s="47">
        <v>242513</v>
      </c>
      <c r="B242" s="147" t="s">
        <v>149</v>
      </c>
      <c r="C242" s="71">
        <v>1816</v>
      </c>
      <c r="D242" s="124">
        <v>0</v>
      </c>
      <c r="E242" s="124">
        <v>797</v>
      </c>
      <c r="F242" s="27">
        <f>C242-D242+E242</f>
        <v>2613</v>
      </c>
      <c r="G242" s="124">
        <f t="shared" si="63"/>
        <v>2613</v>
      </c>
      <c r="H242" s="128">
        <v>0</v>
      </c>
    </row>
    <row r="243" spans="1:8" ht="12">
      <c r="A243" s="47">
        <v>242518</v>
      </c>
      <c r="B243" s="147" t="s">
        <v>150</v>
      </c>
      <c r="C243" s="71">
        <v>135668</v>
      </c>
      <c r="D243" s="124">
        <f>463488+58008+1940</f>
        <v>523436</v>
      </c>
      <c r="E243" s="124">
        <f>362452+39815+1936</f>
        <v>404203</v>
      </c>
      <c r="F243" s="27">
        <f>C243-D243+E243</f>
        <v>16435</v>
      </c>
      <c r="G243" s="124">
        <f t="shared" si="63"/>
        <v>16435</v>
      </c>
      <c r="H243" s="128">
        <v>0</v>
      </c>
    </row>
    <row r="244" spans="1:8" ht="12">
      <c r="A244" s="47">
        <v>242519</v>
      </c>
      <c r="B244" s="147" t="s">
        <v>151</v>
      </c>
      <c r="C244" s="71">
        <v>91329</v>
      </c>
      <c r="D244" s="124">
        <f>279300+60638+1750</f>
        <v>341688</v>
      </c>
      <c r="E244" s="124">
        <f>214131+53047+1745+3</f>
        <v>268926</v>
      </c>
      <c r="F244" s="27">
        <f>C244-D244+E244</f>
        <v>18567</v>
      </c>
      <c r="G244" s="124">
        <f t="shared" si="63"/>
        <v>18567</v>
      </c>
      <c r="H244" s="128">
        <v>0</v>
      </c>
    </row>
    <row r="245" spans="1:8" ht="12">
      <c r="A245" s="47">
        <v>242520</v>
      </c>
      <c r="B245" s="147" t="s">
        <v>152</v>
      </c>
      <c r="C245" s="71">
        <v>71130</v>
      </c>
      <c r="D245" s="124">
        <f>184574+28306+680</f>
        <v>213560</v>
      </c>
      <c r="E245" s="124">
        <f>123435+22572</f>
        <v>146007</v>
      </c>
      <c r="F245" s="27">
        <f>C245-D245+E245</f>
        <v>3577</v>
      </c>
      <c r="G245" s="124">
        <f t="shared" si="63"/>
        <v>3577</v>
      </c>
      <c r="H245" s="128">
        <v>0</v>
      </c>
    </row>
    <row r="246" spans="1:8" ht="12">
      <c r="A246" s="47">
        <v>242521</v>
      </c>
      <c r="B246" s="147" t="s">
        <v>153</v>
      </c>
      <c r="C246" s="71">
        <v>0</v>
      </c>
      <c r="D246" s="129">
        <v>815</v>
      </c>
      <c r="E246" s="129">
        <v>815</v>
      </c>
      <c r="F246" s="27">
        <f>+C246+D246-E246</f>
        <v>0</v>
      </c>
      <c r="G246" s="124">
        <f t="shared" si="63"/>
        <v>0</v>
      </c>
      <c r="H246" s="128">
        <v>0</v>
      </c>
    </row>
    <row r="247" spans="1:8" ht="12">
      <c r="A247" s="47">
        <v>242522</v>
      </c>
      <c r="B247" s="147" t="s">
        <v>154</v>
      </c>
      <c r="C247" s="71">
        <v>0</v>
      </c>
      <c r="D247" s="129">
        <v>59794</v>
      </c>
      <c r="E247" s="129">
        <v>59949</v>
      </c>
      <c r="F247" s="27">
        <f>C247-D247+E247</f>
        <v>155</v>
      </c>
      <c r="G247" s="124">
        <f t="shared" si="63"/>
        <v>155</v>
      </c>
      <c r="H247" s="128">
        <v>0</v>
      </c>
    </row>
    <row r="248" spans="1:8" ht="12">
      <c r="A248" s="47">
        <v>242524</v>
      </c>
      <c r="B248" s="147" t="s">
        <v>155</v>
      </c>
      <c r="C248" s="71">
        <v>326</v>
      </c>
      <c r="D248" s="129">
        <f>6533+940+1</f>
        <v>7474</v>
      </c>
      <c r="E248" s="129">
        <f>6533+977</f>
        <v>7510</v>
      </c>
      <c r="F248" s="27">
        <f>C248-D248+E248</f>
        <v>362</v>
      </c>
      <c r="G248" s="124">
        <f t="shared" si="63"/>
        <v>362</v>
      </c>
      <c r="H248" s="128">
        <v>0</v>
      </c>
    </row>
    <row r="249" spans="1:8" ht="12">
      <c r="A249" s="47">
        <v>242529</v>
      </c>
      <c r="B249" s="147" t="s">
        <v>156</v>
      </c>
      <c r="C249" s="71">
        <v>113</v>
      </c>
      <c r="D249" s="129">
        <v>0</v>
      </c>
      <c r="E249" s="129">
        <v>72</v>
      </c>
      <c r="F249" s="27">
        <f>C249-D249+E249</f>
        <v>185</v>
      </c>
      <c r="G249" s="124">
        <f t="shared" si="63"/>
        <v>185</v>
      </c>
      <c r="H249" s="128">
        <v>0</v>
      </c>
    </row>
    <row r="250" spans="1:8" ht="12">
      <c r="A250" s="47">
        <v>242532</v>
      </c>
      <c r="B250" s="147" t="s">
        <v>157</v>
      </c>
      <c r="C250" s="71">
        <v>3851</v>
      </c>
      <c r="D250" s="129">
        <f>11604+2080</f>
        <v>13684</v>
      </c>
      <c r="E250" s="129">
        <f>8444+1591</f>
        <v>10035</v>
      </c>
      <c r="F250" s="27">
        <f>C250-D250+E250</f>
        <v>202</v>
      </c>
      <c r="G250" s="124">
        <f t="shared" si="63"/>
        <v>202</v>
      </c>
      <c r="H250" s="128">
        <v>0</v>
      </c>
    </row>
    <row r="251" spans="1:8" ht="12">
      <c r="A251" s="47">
        <v>242533</v>
      </c>
      <c r="B251" s="147" t="s">
        <v>158</v>
      </c>
      <c r="C251" s="71">
        <v>0</v>
      </c>
      <c r="D251" s="129">
        <v>0</v>
      </c>
      <c r="E251" s="129">
        <v>0</v>
      </c>
      <c r="F251" s="27">
        <f>+C251+D251-E251</f>
        <v>0</v>
      </c>
      <c r="G251" s="124">
        <f t="shared" si="63"/>
        <v>0</v>
      </c>
      <c r="H251" s="128">
        <v>0</v>
      </c>
    </row>
    <row r="252" spans="1:8" ht="12">
      <c r="A252" s="47">
        <v>242535</v>
      </c>
      <c r="B252" s="147" t="s">
        <v>159</v>
      </c>
      <c r="C252" s="71">
        <v>8441</v>
      </c>
      <c r="D252" s="129">
        <f>54729+6741</f>
        <v>61470</v>
      </c>
      <c r="E252" s="129">
        <f>53341+6817</f>
        <v>60158</v>
      </c>
      <c r="F252" s="27">
        <f>C252-D252+E252</f>
        <v>7129</v>
      </c>
      <c r="G252" s="124">
        <f t="shared" si="63"/>
        <v>7129</v>
      </c>
      <c r="H252" s="128">
        <v>0</v>
      </c>
    </row>
    <row r="253" spans="1:8" ht="12">
      <c r="A253" s="47">
        <v>242541</v>
      </c>
      <c r="B253" s="147" t="s">
        <v>160</v>
      </c>
      <c r="C253" s="71">
        <v>12432</v>
      </c>
      <c r="D253" s="129">
        <v>44008</v>
      </c>
      <c r="E253" s="129">
        <v>31576</v>
      </c>
      <c r="F253" s="27">
        <f>C253-D253+E253</f>
        <v>0</v>
      </c>
      <c r="G253" s="124">
        <f t="shared" si="63"/>
        <v>0</v>
      </c>
      <c r="H253" s="128">
        <v>0</v>
      </c>
    </row>
    <row r="254" spans="1:8" ht="12">
      <c r="A254" s="47">
        <v>242546</v>
      </c>
      <c r="B254" s="64" t="s">
        <v>161</v>
      </c>
      <c r="C254" s="71">
        <v>0</v>
      </c>
      <c r="D254" s="129">
        <v>9379</v>
      </c>
      <c r="E254" s="129">
        <v>13635</v>
      </c>
      <c r="F254" s="27">
        <f>C254-D254+E254</f>
        <v>4256</v>
      </c>
      <c r="G254" s="124">
        <f t="shared" si="63"/>
        <v>4256</v>
      </c>
      <c r="H254" s="128">
        <v>0</v>
      </c>
    </row>
    <row r="255" spans="1:8" ht="12">
      <c r="A255" s="47">
        <v>242590</v>
      </c>
      <c r="B255" s="147" t="s">
        <v>162</v>
      </c>
      <c r="C255" s="71">
        <v>30</v>
      </c>
      <c r="D255" s="129">
        <f>14277+541</f>
        <v>14818</v>
      </c>
      <c r="E255" s="129">
        <f>16255+511</f>
        <v>16766</v>
      </c>
      <c r="F255" s="27">
        <f>C255-D255+E255</f>
        <v>1978</v>
      </c>
      <c r="G255" s="124">
        <f t="shared" si="63"/>
        <v>1978</v>
      </c>
      <c r="H255" s="128">
        <v>0</v>
      </c>
    </row>
    <row r="256" spans="1:8" ht="12">
      <c r="A256" s="47">
        <v>243000</v>
      </c>
      <c r="B256" s="148" t="s">
        <v>163</v>
      </c>
      <c r="C256" s="69">
        <f aca="true" t="shared" si="66" ref="C256:H256">SUM(C257)</f>
        <v>0</v>
      </c>
      <c r="D256" s="126">
        <f t="shared" si="66"/>
        <v>0</v>
      </c>
      <c r="E256" s="126">
        <f t="shared" si="66"/>
        <v>0</v>
      </c>
      <c r="F256" s="126">
        <f t="shared" si="66"/>
        <v>0</v>
      </c>
      <c r="G256" s="126">
        <f t="shared" si="66"/>
        <v>0</v>
      </c>
      <c r="H256" s="127">
        <f t="shared" si="66"/>
        <v>0</v>
      </c>
    </row>
    <row r="257" spans="1:8" ht="12">
      <c r="A257" s="47">
        <v>243002</v>
      </c>
      <c r="B257" s="147" t="s">
        <v>164</v>
      </c>
      <c r="C257" s="71">
        <v>0</v>
      </c>
      <c r="D257" s="124">
        <v>0</v>
      </c>
      <c r="E257" s="124">
        <v>0</v>
      </c>
      <c r="F257" s="27">
        <f>+C257+D257-E257</f>
        <v>0</v>
      </c>
      <c r="G257" s="124">
        <f t="shared" si="63"/>
        <v>0</v>
      </c>
      <c r="H257" s="128">
        <v>0</v>
      </c>
    </row>
    <row r="258" spans="1:8" ht="24">
      <c r="A258" s="47">
        <v>243600</v>
      </c>
      <c r="B258" s="148" t="s">
        <v>165</v>
      </c>
      <c r="C258" s="69">
        <f aca="true" t="shared" si="67" ref="C258:H258">SUM(C259:C268)</f>
        <v>333138</v>
      </c>
      <c r="D258" s="126">
        <f t="shared" si="67"/>
        <v>717210</v>
      </c>
      <c r="E258" s="126">
        <f t="shared" si="67"/>
        <v>834822</v>
      </c>
      <c r="F258" s="126">
        <f t="shared" si="67"/>
        <v>450750</v>
      </c>
      <c r="G258" s="126">
        <f t="shared" si="67"/>
        <v>450750</v>
      </c>
      <c r="H258" s="127">
        <f t="shared" si="67"/>
        <v>0</v>
      </c>
    </row>
    <row r="259" spans="1:8" ht="12">
      <c r="A259" s="47">
        <v>243601</v>
      </c>
      <c r="B259" s="147" t="s">
        <v>166</v>
      </c>
      <c r="C259" s="71">
        <v>46389</v>
      </c>
      <c r="D259" s="124">
        <f>74199+102</f>
        <v>74301</v>
      </c>
      <c r="E259" s="124">
        <f>69415+95</f>
        <v>69510</v>
      </c>
      <c r="F259" s="27">
        <f aca="true" t="shared" si="68" ref="F259:F270">C259-D259+E259</f>
        <v>41598</v>
      </c>
      <c r="G259" s="124">
        <f t="shared" si="63"/>
        <v>41598</v>
      </c>
      <c r="H259" s="128">
        <v>0</v>
      </c>
    </row>
    <row r="260" spans="1:8" ht="12">
      <c r="A260" s="47">
        <v>243602</v>
      </c>
      <c r="B260" s="147" t="s">
        <v>167</v>
      </c>
      <c r="C260" s="71">
        <v>0</v>
      </c>
      <c r="D260" s="124">
        <v>0</v>
      </c>
      <c r="E260" s="124">
        <v>0</v>
      </c>
      <c r="F260" s="27">
        <f t="shared" si="68"/>
        <v>0</v>
      </c>
      <c r="G260" s="124">
        <f t="shared" si="63"/>
        <v>0</v>
      </c>
      <c r="H260" s="128">
        <v>0</v>
      </c>
    </row>
    <row r="261" spans="1:8" ht="12">
      <c r="A261" s="47">
        <v>243603</v>
      </c>
      <c r="B261" s="147" t="s">
        <v>168</v>
      </c>
      <c r="C261" s="71">
        <v>143041</v>
      </c>
      <c r="D261" s="124">
        <f>299434+25619+17311</f>
        <v>342364</v>
      </c>
      <c r="E261" s="124">
        <f>289716+27748+17476</f>
        <v>334940</v>
      </c>
      <c r="F261" s="27">
        <f t="shared" si="68"/>
        <v>135617</v>
      </c>
      <c r="G261" s="124">
        <f t="shared" si="63"/>
        <v>135617</v>
      </c>
      <c r="H261" s="128">
        <v>0</v>
      </c>
    </row>
    <row r="262" spans="1:8" ht="12">
      <c r="A262" s="47">
        <v>243604</v>
      </c>
      <c r="B262" s="147" t="s">
        <v>169</v>
      </c>
      <c r="C262" s="71">
        <v>0</v>
      </c>
      <c r="D262" s="124">
        <v>0</v>
      </c>
      <c r="E262" s="124">
        <v>0</v>
      </c>
      <c r="F262" s="27">
        <f t="shared" si="68"/>
        <v>0</v>
      </c>
      <c r="G262" s="124">
        <f t="shared" si="63"/>
        <v>0</v>
      </c>
      <c r="H262" s="128">
        <v>0</v>
      </c>
    </row>
    <row r="263" spans="1:8" ht="12">
      <c r="A263" s="47">
        <v>243605</v>
      </c>
      <c r="B263" s="147" t="s">
        <v>70</v>
      </c>
      <c r="C263" s="71">
        <v>11336</v>
      </c>
      <c r="D263" s="124">
        <f>28351+5245+4933+1</f>
        <v>38530</v>
      </c>
      <c r="E263" s="124">
        <f>84107+3966+5019</f>
        <v>93092</v>
      </c>
      <c r="F263" s="27">
        <f t="shared" si="68"/>
        <v>65898</v>
      </c>
      <c r="G263" s="124">
        <f t="shared" si="63"/>
        <v>65898</v>
      </c>
      <c r="H263" s="128">
        <v>0</v>
      </c>
    </row>
    <row r="264" spans="1:8" ht="12">
      <c r="A264" s="47">
        <v>243607</v>
      </c>
      <c r="B264" s="147" t="s">
        <v>170</v>
      </c>
      <c r="C264" s="71">
        <v>0</v>
      </c>
      <c r="D264" s="124">
        <v>0</v>
      </c>
      <c r="E264" s="124">
        <v>0</v>
      </c>
      <c r="F264" s="27">
        <f t="shared" si="68"/>
        <v>0</v>
      </c>
      <c r="G264" s="124">
        <f t="shared" si="63"/>
        <v>0</v>
      </c>
      <c r="H264" s="128">
        <v>0</v>
      </c>
    </row>
    <row r="265" spans="1:8" ht="12">
      <c r="A265" s="47">
        <v>243608</v>
      </c>
      <c r="B265" s="147" t="s">
        <v>171</v>
      </c>
      <c r="C265" s="71">
        <v>4376</v>
      </c>
      <c r="D265" s="124">
        <f>1077+9578+1055</f>
        <v>11710</v>
      </c>
      <c r="E265" s="124">
        <f>2080+9903+435</f>
        <v>12418</v>
      </c>
      <c r="F265" s="27">
        <f t="shared" si="68"/>
        <v>5084</v>
      </c>
      <c r="G265" s="124">
        <f t="shared" si="63"/>
        <v>5084</v>
      </c>
      <c r="H265" s="128">
        <v>0</v>
      </c>
    </row>
    <row r="266" spans="1:8" ht="12">
      <c r="A266" s="47">
        <v>243610</v>
      </c>
      <c r="B266" s="147" t="s">
        <v>172</v>
      </c>
      <c r="C266" s="71">
        <v>688</v>
      </c>
      <c r="D266" s="124">
        <v>688</v>
      </c>
      <c r="E266" s="124">
        <v>0</v>
      </c>
      <c r="F266" s="27">
        <f t="shared" si="68"/>
        <v>0</v>
      </c>
      <c r="G266" s="124">
        <f t="shared" si="63"/>
        <v>0</v>
      </c>
      <c r="H266" s="128">
        <v>0</v>
      </c>
    </row>
    <row r="267" spans="1:8" ht="12">
      <c r="A267" s="47">
        <v>243625</v>
      </c>
      <c r="B267" s="147" t="s">
        <v>173</v>
      </c>
      <c r="C267" s="71">
        <v>123737</v>
      </c>
      <c r="D267" s="124">
        <f>221640+19166+3460</f>
        <v>244266</v>
      </c>
      <c r="E267" s="124">
        <f>296486+19036+1954</f>
        <v>317476</v>
      </c>
      <c r="F267" s="27">
        <f t="shared" si="68"/>
        <v>196947</v>
      </c>
      <c r="G267" s="124">
        <f t="shared" si="63"/>
        <v>196947</v>
      </c>
      <c r="H267" s="128">
        <v>0</v>
      </c>
    </row>
    <row r="268" spans="1:8" ht="12">
      <c r="A268" s="47">
        <v>243698</v>
      </c>
      <c r="B268" s="147" t="s">
        <v>174</v>
      </c>
      <c r="C268" s="71">
        <v>3571</v>
      </c>
      <c r="D268" s="124">
        <f>4626+725</f>
        <v>5351</v>
      </c>
      <c r="E268" s="124">
        <f>5946+1440</f>
        <v>7386</v>
      </c>
      <c r="F268" s="27">
        <f t="shared" si="68"/>
        <v>5606</v>
      </c>
      <c r="G268" s="124">
        <f t="shared" si="63"/>
        <v>5606</v>
      </c>
      <c r="H268" s="128">
        <v>0</v>
      </c>
    </row>
    <row r="269" spans="1:8" ht="24">
      <c r="A269" s="47">
        <v>243700</v>
      </c>
      <c r="B269" s="148" t="s">
        <v>175</v>
      </c>
      <c r="C269" s="69">
        <f aca="true" t="shared" si="69" ref="C269:H269">SUM(C270)</f>
        <v>19397</v>
      </c>
      <c r="D269" s="126">
        <f t="shared" si="69"/>
        <v>44104</v>
      </c>
      <c r="E269" s="126">
        <f t="shared" si="69"/>
        <v>66940</v>
      </c>
      <c r="F269" s="126">
        <f t="shared" si="69"/>
        <v>42233</v>
      </c>
      <c r="G269" s="126">
        <f t="shared" si="69"/>
        <v>42233</v>
      </c>
      <c r="H269" s="127">
        <f t="shared" si="69"/>
        <v>0</v>
      </c>
    </row>
    <row r="270" spans="1:8" ht="12">
      <c r="A270" s="47">
        <v>243701</v>
      </c>
      <c r="B270" s="147" t="s">
        <v>176</v>
      </c>
      <c r="C270" s="71">
        <v>19397</v>
      </c>
      <c r="D270" s="124">
        <f>39558+2593+1953</f>
        <v>44104</v>
      </c>
      <c r="E270" s="124">
        <f>61585+2595+2760</f>
        <v>66940</v>
      </c>
      <c r="F270" s="27">
        <f t="shared" si="68"/>
        <v>42233</v>
      </c>
      <c r="G270" s="124">
        <f t="shared" si="63"/>
        <v>42233</v>
      </c>
      <c r="H270" s="128">
        <v>0</v>
      </c>
    </row>
    <row r="271" spans="1:8" ht="24">
      <c r="A271" s="47">
        <v>244000</v>
      </c>
      <c r="B271" s="148" t="s">
        <v>177</v>
      </c>
      <c r="C271" s="69">
        <f aca="true" t="shared" si="70" ref="C271:H271">SUM(C272:C276)</f>
        <v>525009</v>
      </c>
      <c r="D271" s="126">
        <f t="shared" si="70"/>
        <v>7140723</v>
      </c>
      <c r="E271" s="126">
        <f t="shared" si="70"/>
        <v>7645447</v>
      </c>
      <c r="F271" s="126">
        <f t="shared" si="70"/>
        <v>1029733</v>
      </c>
      <c r="G271" s="126">
        <f t="shared" si="70"/>
        <v>1029733</v>
      </c>
      <c r="H271" s="127">
        <f t="shared" si="70"/>
        <v>0</v>
      </c>
    </row>
    <row r="272" spans="1:8" ht="12">
      <c r="A272" s="47">
        <v>244003</v>
      </c>
      <c r="B272" s="147" t="s">
        <v>178</v>
      </c>
      <c r="C272" s="71">
        <v>0</v>
      </c>
      <c r="D272" s="124">
        <v>0</v>
      </c>
      <c r="E272" s="124">
        <v>0</v>
      </c>
      <c r="F272" s="27">
        <f>C272-D272+E272</f>
        <v>0</v>
      </c>
      <c r="G272" s="124">
        <f t="shared" si="63"/>
        <v>0</v>
      </c>
      <c r="H272" s="128">
        <v>0</v>
      </c>
    </row>
    <row r="273" spans="1:8" ht="12">
      <c r="A273" s="47">
        <v>244005</v>
      </c>
      <c r="B273" s="147" t="s">
        <v>179</v>
      </c>
      <c r="C273" s="71">
        <v>0</v>
      </c>
      <c r="D273" s="124">
        <v>46020</v>
      </c>
      <c r="E273" s="124">
        <v>46020</v>
      </c>
      <c r="F273" s="27">
        <f>+C273+D273-E273</f>
        <v>0</v>
      </c>
      <c r="G273" s="124">
        <f t="shared" si="63"/>
        <v>0</v>
      </c>
      <c r="H273" s="128">
        <v>0</v>
      </c>
    </row>
    <row r="274" spans="1:8" ht="12">
      <c r="A274" s="47">
        <v>244011</v>
      </c>
      <c r="B274" s="147" t="s">
        <v>180</v>
      </c>
      <c r="C274" s="71">
        <f>533556-8547</f>
        <v>525009</v>
      </c>
      <c r="D274" s="124">
        <v>7084559</v>
      </c>
      <c r="E274" s="124">
        <f>7580736+8547</f>
        <v>7589283</v>
      </c>
      <c r="F274" s="27">
        <f>C274-D274+E274</f>
        <v>1029733</v>
      </c>
      <c r="G274" s="124">
        <f t="shared" si="63"/>
        <v>1029733</v>
      </c>
      <c r="H274" s="128">
        <v>0</v>
      </c>
    </row>
    <row r="275" spans="1:8" ht="12">
      <c r="A275" s="47">
        <v>244016</v>
      </c>
      <c r="B275" s="147" t="s">
        <v>181</v>
      </c>
      <c r="C275" s="71">
        <v>0</v>
      </c>
      <c r="D275" s="124">
        <v>10144</v>
      </c>
      <c r="E275" s="124">
        <v>10144</v>
      </c>
      <c r="F275" s="27">
        <f>+C275+D275-E275</f>
        <v>0</v>
      </c>
      <c r="G275" s="124">
        <f t="shared" si="63"/>
        <v>0</v>
      </c>
      <c r="H275" s="128">
        <v>0</v>
      </c>
    </row>
    <row r="276" spans="1:8" ht="12">
      <c r="A276" s="47">
        <v>244095</v>
      </c>
      <c r="B276" s="147" t="s">
        <v>182</v>
      </c>
      <c r="C276" s="71">
        <v>0</v>
      </c>
      <c r="D276" s="124">
        <v>0</v>
      </c>
      <c r="E276" s="124">
        <v>0</v>
      </c>
      <c r="F276" s="27">
        <f>+C276+D276-E276</f>
        <v>0</v>
      </c>
      <c r="G276" s="124">
        <f t="shared" si="63"/>
        <v>0</v>
      </c>
      <c r="H276" s="128">
        <v>0</v>
      </c>
    </row>
    <row r="277" spans="1:8" ht="12">
      <c r="A277" s="47">
        <v>245500</v>
      </c>
      <c r="B277" s="148" t="s">
        <v>183</v>
      </c>
      <c r="C277" s="60">
        <f aca="true" t="shared" si="71" ref="C277:H277">SUM(C278:C279)</f>
        <v>75116</v>
      </c>
      <c r="D277" s="122">
        <f t="shared" si="71"/>
        <v>46207</v>
      </c>
      <c r="E277" s="122">
        <f t="shared" si="71"/>
        <v>34086</v>
      </c>
      <c r="F277" s="122">
        <f t="shared" si="71"/>
        <v>62995</v>
      </c>
      <c r="G277" s="122">
        <f t="shared" si="71"/>
        <v>62995</v>
      </c>
      <c r="H277" s="123">
        <f t="shared" si="71"/>
        <v>0</v>
      </c>
    </row>
    <row r="278" spans="1:8" ht="12">
      <c r="A278" s="47">
        <v>245503</v>
      </c>
      <c r="B278" s="149" t="s">
        <v>184</v>
      </c>
      <c r="C278" s="71">
        <v>207</v>
      </c>
      <c r="D278" s="124">
        <v>749</v>
      </c>
      <c r="E278" s="124">
        <v>749</v>
      </c>
      <c r="F278" s="27">
        <f>+C278+D278-E278</f>
        <v>207</v>
      </c>
      <c r="G278" s="124">
        <f t="shared" si="63"/>
        <v>207</v>
      </c>
      <c r="H278" s="128">
        <v>0</v>
      </c>
    </row>
    <row r="279" spans="1:8" ht="12.75" customHeight="1">
      <c r="A279" s="47">
        <v>245506</v>
      </c>
      <c r="B279" s="149" t="s">
        <v>185</v>
      </c>
      <c r="C279" s="71">
        <v>74909</v>
      </c>
      <c r="D279" s="124">
        <v>45458</v>
      </c>
      <c r="E279" s="124">
        <v>33337</v>
      </c>
      <c r="F279" s="27">
        <f>C279-D279+E279</f>
        <v>62788</v>
      </c>
      <c r="G279" s="124">
        <f t="shared" si="63"/>
        <v>62788</v>
      </c>
      <c r="H279" s="128">
        <v>0</v>
      </c>
    </row>
    <row r="280" spans="1:8" ht="12">
      <c r="A280" s="47">
        <v>246000</v>
      </c>
      <c r="B280" s="148" t="s">
        <v>186</v>
      </c>
      <c r="C280" s="60">
        <f aca="true" t="shared" si="72" ref="C280:H280">SUM(C281)</f>
        <v>0</v>
      </c>
      <c r="D280" s="122">
        <f t="shared" si="72"/>
        <v>574833</v>
      </c>
      <c r="E280" s="122">
        <f t="shared" si="72"/>
        <v>574833</v>
      </c>
      <c r="F280" s="122">
        <f t="shared" si="72"/>
        <v>0</v>
      </c>
      <c r="G280" s="122">
        <f t="shared" si="72"/>
        <v>0</v>
      </c>
      <c r="H280" s="123">
        <f t="shared" si="72"/>
        <v>0</v>
      </c>
    </row>
    <row r="281" spans="1:8" ht="12">
      <c r="A281" s="47">
        <v>246002</v>
      </c>
      <c r="B281" s="149" t="s">
        <v>167</v>
      </c>
      <c r="C281" s="71">
        <v>0</v>
      </c>
      <c r="D281" s="124">
        <v>574833</v>
      </c>
      <c r="E281" s="124">
        <v>574833</v>
      </c>
      <c r="F281" s="27">
        <f>+C281+D281-E281</f>
        <v>0</v>
      </c>
      <c r="G281" s="124">
        <f t="shared" si="63"/>
        <v>0</v>
      </c>
      <c r="H281" s="128">
        <v>0</v>
      </c>
    </row>
    <row r="282" spans="1:8" ht="12">
      <c r="A282" s="47">
        <v>250000</v>
      </c>
      <c r="B282" s="150" t="s">
        <v>187</v>
      </c>
      <c r="C282" s="69">
        <f aca="true" t="shared" si="73" ref="C282:H282">C283</f>
        <v>502427</v>
      </c>
      <c r="D282" s="69">
        <f t="shared" si="73"/>
        <v>3244185</v>
      </c>
      <c r="E282" s="69">
        <f t="shared" si="73"/>
        <v>3107029</v>
      </c>
      <c r="F282" s="69">
        <f t="shared" si="73"/>
        <v>365271</v>
      </c>
      <c r="G282" s="69">
        <f t="shared" si="73"/>
        <v>365271</v>
      </c>
      <c r="H282" s="70">
        <f t="shared" si="73"/>
        <v>0</v>
      </c>
    </row>
    <row r="283" spans="1:8" ht="12">
      <c r="A283" s="47">
        <v>250500</v>
      </c>
      <c r="B283" s="150" t="s">
        <v>188</v>
      </c>
      <c r="C283" s="69">
        <f aca="true" t="shared" si="74" ref="C283:H283">SUM(C284:C290)</f>
        <v>502427</v>
      </c>
      <c r="D283" s="126">
        <f t="shared" si="74"/>
        <v>3244185</v>
      </c>
      <c r="E283" s="126">
        <f t="shared" si="74"/>
        <v>3107029</v>
      </c>
      <c r="F283" s="126">
        <f t="shared" si="74"/>
        <v>365271</v>
      </c>
      <c r="G283" s="126">
        <f t="shared" si="74"/>
        <v>365271</v>
      </c>
      <c r="H283" s="127">
        <f t="shared" si="74"/>
        <v>0</v>
      </c>
    </row>
    <row r="284" spans="1:8" ht="12">
      <c r="A284" s="47">
        <v>250501</v>
      </c>
      <c r="B284" s="149" t="s">
        <v>189</v>
      </c>
      <c r="C284" s="71">
        <v>9813</v>
      </c>
      <c r="D284" s="124">
        <f>2739472+37710</f>
        <v>2777182</v>
      </c>
      <c r="E284" s="124">
        <f>2763235+37710</f>
        <v>2800945</v>
      </c>
      <c r="F284" s="27">
        <f aca="true" t="shared" si="75" ref="F284:F290">C284-D284+E284</f>
        <v>33576</v>
      </c>
      <c r="G284" s="124">
        <f aca="true" t="shared" si="76" ref="G284:G290">+F284</f>
        <v>33576</v>
      </c>
      <c r="H284" s="128">
        <v>0</v>
      </c>
    </row>
    <row r="285" spans="1:8" ht="12">
      <c r="A285" s="47">
        <v>250502</v>
      </c>
      <c r="B285" s="149" t="s">
        <v>190</v>
      </c>
      <c r="C285" s="71">
        <v>633</v>
      </c>
      <c r="D285" s="124">
        <v>193163</v>
      </c>
      <c r="E285" s="124">
        <v>209558</v>
      </c>
      <c r="F285" s="27">
        <f t="shared" si="75"/>
        <v>17028</v>
      </c>
      <c r="G285" s="124">
        <f t="shared" si="76"/>
        <v>17028</v>
      </c>
      <c r="H285" s="128">
        <v>0</v>
      </c>
    </row>
    <row r="286" spans="1:8" ht="12">
      <c r="A286" s="47">
        <v>250504</v>
      </c>
      <c r="B286" s="149" t="s">
        <v>191</v>
      </c>
      <c r="C286" s="71">
        <v>262163</v>
      </c>
      <c r="D286" s="124">
        <f>112447+4981</f>
        <v>117428</v>
      </c>
      <c r="E286" s="124">
        <v>1</v>
      </c>
      <c r="F286" s="27">
        <f t="shared" si="75"/>
        <v>144736</v>
      </c>
      <c r="G286" s="124">
        <f t="shared" si="76"/>
        <v>144736</v>
      </c>
      <c r="H286" s="128">
        <v>0</v>
      </c>
    </row>
    <row r="287" spans="1:8" ht="12">
      <c r="A287" s="47">
        <v>250505</v>
      </c>
      <c r="B287" s="149" t="s">
        <v>192</v>
      </c>
      <c r="C287" s="71">
        <v>73713</v>
      </c>
      <c r="D287" s="124">
        <f>73121+3358+2141+1</f>
        <v>78621</v>
      </c>
      <c r="E287" s="124">
        <f>8847+1070</f>
        <v>9917</v>
      </c>
      <c r="F287" s="27">
        <f t="shared" si="75"/>
        <v>5009</v>
      </c>
      <c r="G287" s="124">
        <f t="shared" si="76"/>
        <v>5009</v>
      </c>
      <c r="H287" s="128">
        <v>0</v>
      </c>
    </row>
    <row r="288" spans="1:8" ht="12">
      <c r="A288" s="47">
        <v>250506</v>
      </c>
      <c r="B288" s="149" t="s">
        <v>193</v>
      </c>
      <c r="C288" s="71">
        <v>148516</v>
      </c>
      <c r="D288" s="124">
        <f>5803+1879</f>
        <v>7682</v>
      </c>
      <c r="E288" s="124">
        <v>5192</v>
      </c>
      <c r="F288" s="27">
        <f t="shared" si="75"/>
        <v>146026</v>
      </c>
      <c r="G288" s="124">
        <f t="shared" si="76"/>
        <v>146026</v>
      </c>
      <c r="H288" s="128">
        <v>0</v>
      </c>
    </row>
    <row r="289" spans="1:8" ht="12">
      <c r="A289" s="47">
        <v>250507</v>
      </c>
      <c r="B289" s="149" t="s">
        <v>194</v>
      </c>
      <c r="C289" s="71">
        <v>543</v>
      </c>
      <c r="D289" s="124">
        <v>2339</v>
      </c>
      <c r="E289" s="124">
        <v>6530</v>
      </c>
      <c r="F289" s="27">
        <f t="shared" si="75"/>
        <v>4734</v>
      </c>
      <c r="G289" s="124">
        <f t="shared" si="76"/>
        <v>4734</v>
      </c>
      <c r="H289" s="128">
        <v>0</v>
      </c>
    </row>
    <row r="290" spans="1:8" ht="12">
      <c r="A290" s="47">
        <v>250512</v>
      </c>
      <c r="B290" s="149" t="s">
        <v>195</v>
      </c>
      <c r="C290" s="71">
        <v>7046</v>
      </c>
      <c r="D290" s="124">
        <f>64864+2906</f>
        <v>67770</v>
      </c>
      <c r="E290" s="124">
        <f>73493+1393</f>
        <v>74886</v>
      </c>
      <c r="F290" s="27">
        <f t="shared" si="75"/>
        <v>14162</v>
      </c>
      <c r="G290" s="124">
        <f t="shared" si="76"/>
        <v>14162</v>
      </c>
      <c r="H290" s="128">
        <v>0</v>
      </c>
    </row>
    <row r="291" spans="1:8" ht="12">
      <c r="A291" s="47">
        <v>270000</v>
      </c>
      <c r="B291" s="145" t="s">
        <v>196</v>
      </c>
      <c r="C291" s="60">
        <f aca="true" t="shared" si="77" ref="C291:H291">C292+C294</f>
        <v>1657184385</v>
      </c>
      <c r="D291" s="60">
        <f t="shared" si="77"/>
        <v>3313668496</v>
      </c>
      <c r="E291" s="60">
        <f t="shared" si="77"/>
        <v>1657339058</v>
      </c>
      <c r="F291" s="60">
        <f t="shared" si="77"/>
        <v>854947</v>
      </c>
      <c r="G291" s="60">
        <f t="shared" si="77"/>
        <v>854947</v>
      </c>
      <c r="H291" s="61">
        <f t="shared" si="77"/>
        <v>0</v>
      </c>
    </row>
    <row r="292" spans="1:8" ht="12">
      <c r="A292" s="47">
        <v>271000</v>
      </c>
      <c r="B292" s="145" t="s">
        <v>197</v>
      </c>
      <c r="C292" s="60">
        <f aca="true" t="shared" si="78" ref="C292:H292">SUM(C293)</f>
        <v>0</v>
      </c>
      <c r="D292" s="122">
        <f t="shared" si="78"/>
        <v>1656745636</v>
      </c>
      <c r="E292" s="122">
        <f t="shared" si="78"/>
        <v>1656745636</v>
      </c>
      <c r="F292" s="122">
        <f t="shared" si="78"/>
        <v>0</v>
      </c>
      <c r="G292" s="122">
        <f t="shared" si="78"/>
        <v>0</v>
      </c>
      <c r="H292" s="123">
        <f t="shared" si="78"/>
        <v>0</v>
      </c>
    </row>
    <row r="293" spans="1:8" ht="12">
      <c r="A293" s="47">
        <v>271005</v>
      </c>
      <c r="B293" s="146" t="s">
        <v>198</v>
      </c>
      <c r="C293" s="62">
        <v>0</v>
      </c>
      <c r="D293" s="124">
        <v>1656745636</v>
      </c>
      <c r="E293" s="124">
        <v>1656745636</v>
      </c>
      <c r="F293" s="27">
        <f>+C293+D293-E293</f>
        <v>0</v>
      </c>
      <c r="G293" s="124">
        <f aca="true" t="shared" si="79" ref="G293:G301">+F293</f>
        <v>0</v>
      </c>
      <c r="H293" s="125">
        <v>0</v>
      </c>
    </row>
    <row r="294" spans="1:8" ht="24">
      <c r="A294" s="47">
        <v>271500</v>
      </c>
      <c r="B294" s="145" t="s">
        <v>199</v>
      </c>
      <c r="C294" s="60">
        <f aca="true" t="shared" si="80" ref="C294:H294">SUM(C295:C301)</f>
        <v>1657184385</v>
      </c>
      <c r="D294" s="122">
        <f t="shared" si="80"/>
        <v>1656922860</v>
      </c>
      <c r="E294" s="122">
        <f t="shared" si="80"/>
        <v>593422</v>
      </c>
      <c r="F294" s="122">
        <f t="shared" si="80"/>
        <v>854947</v>
      </c>
      <c r="G294" s="122">
        <f t="shared" si="80"/>
        <v>854947</v>
      </c>
      <c r="H294" s="123">
        <f t="shared" si="80"/>
        <v>0</v>
      </c>
    </row>
    <row r="295" spans="1:8" ht="12">
      <c r="A295" s="47">
        <v>271501</v>
      </c>
      <c r="B295" s="146" t="s">
        <v>190</v>
      </c>
      <c r="C295" s="62">
        <v>0</v>
      </c>
      <c r="D295" s="124">
        <v>76698</v>
      </c>
      <c r="E295" s="124">
        <v>76698</v>
      </c>
      <c r="F295" s="27">
        <f>+C295+D295-E295</f>
        <v>0</v>
      </c>
      <c r="G295" s="124">
        <f t="shared" si="79"/>
        <v>0</v>
      </c>
      <c r="H295" s="125">
        <v>0</v>
      </c>
    </row>
    <row r="296" spans="1:8" ht="12">
      <c r="A296" s="47">
        <v>271503</v>
      </c>
      <c r="B296" s="146" t="s">
        <v>191</v>
      </c>
      <c r="C296" s="62">
        <v>1302</v>
      </c>
      <c r="D296" s="124">
        <f>712+1</f>
        <v>713</v>
      </c>
      <c r="E296" s="124">
        <v>0</v>
      </c>
      <c r="F296" s="27">
        <f aca="true" t="shared" si="81" ref="F296:F301">C296-D296+E296</f>
        <v>589</v>
      </c>
      <c r="G296" s="124">
        <f t="shared" si="79"/>
        <v>589</v>
      </c>
      <c r="H296" s="125">
        <v>0</v>
      </c>
    </row>
    <row r="297" spans="1:8" ht="12">
      <c r="A297" s="47">
        <v>271504</v>
      </c>
      <c r="B297" s="146" t="s">
        <v>193</v>
      </c>
      <c r="C297" s="62">
        <v>88601</v>
      </c>
      <c r="D297" s="124">
        <f>6690+4253</f>
        <v>10943</v>
      </c>
      <c r="E297" s="124">
        <f>84887+2240+1</f>
        <v>87128</v>
      </c>
      <c r="F297" s="27">
        <f t="shared" si="81"/>
        <v>164786</v>
      </c>
      <c r="G297" s="124">
        <f t="shared" si="79"/>
        <v>164786</v>
      </c>
      <c r="H297" s="119">
        <v>0</v>
      </c>
    </row>
    <row r="298" spans="1:8" ht="12">
      <c r="A298" s="47">
        <v>271505</v>
      </c>
      <c r="B298" s="146" t="s">
        <v>200</v>
      </c>
      <c r="C298" s="62">
        <v>1656745636</v>
      </c>
      <c r="D298" s="124">
        <v>1656745636</v>
      </c>
      <c r="E298" s="124">
        <v>0</v>
      </c>
      <c r="F298" s="27">
        <f t="shared" si="81"/>
        <v>0</v>
      </c>
      <c r="G298" s="124">
        <f t="shared" si="79"/>
        <v>0</v>
      </c>
      <c r="H298" s="120">
        <v>0</v>
      </c>
    </row>
    <row r="299" spans="1:8" ht="12">
      <c r="A299" s="47">
        <v>271506</v>
      </c>
      <c r="B299" s="146" t="s">
        <v>192</v>
      </c>
      <c r="C299" s="62">
        <v>88944</v>
      </c>
      <c r="D299" s="124">
        <v>8847</v>
      </c>
      <c r="E299" s="124">
        <f>88348+2244+1722</f>
        <v>92314</v>
      </c>
      <c r="F299" s="27">
        <f t="shared" si="81"/>
        <v>172411</v>
      </c>
      <c r="G299" s="124">
        <f t="shared" si="79"/>
        <v>172411</v>
      </c>
      <c r="H299" s="120">
        <v>0</v>
      </c>
    </row>
    <row r="300" spans="1:8" ht="12">
      <c r="A300" s="47">
        <v>271507</v>
      </c>
      <c r="B300" s="146" t="s">
        <v>195</v>
      </c>
      <c r="C300" s="62">
        <v>89968</v>
      </c>
      <c r="D300" s="124">
        <v>73493</v>
      </c>
      <c r="E300" s="124">
        <f>154710+1460</f>
        <v>156170</v>
      </c>
      <c r="F300" s="27">
        <f t="shared" si="81"/>
        <v>172645</v>
      </c>
      <c r="G300" s="124">
        <f t="shared" si="79"/>
        <v>172645</v>
      </c>
      <c r="H300" s="120">
        <v>0</v>
      </c>
    </row>
    <row r="301" spans="1:8" ht="12">
      <c r="A301" s="47">
        <v>271509</v>
      </c>
      <c r="B301" s="146" t="s">
        <v>194</v>
      </c>
      <c r="C301" s="62">
        <v>169934</v>
      </c>
      <c r="D301" s="124">
        <v>6530</v>
      </c>
      <c r="E301" s="124">
        <f>169570+8020+3522</f>
        <v>181112</v>
      </c>
      <c r="F301" s="27">
        <f t="shared" si="81"/>
        <v>344516</v>
      </c>
      <c r="G301" s="124">
        <f t="shared" si="79"/>
        <v>344516</v>
      </c>
      <c r="H301" s="120">
        <v>0</v>
      </c>
    </row>
    <row r="302" spans="1:8" ht="12">
      <c r="A302" s="47">
        <v>290000</v>
      </c>
      <c r="B302" s="145" t="s">
        <v>201</v>
      </c>
      <c r="C302" s="69">
        <f aca="true" t="shared" si="82" ref="C302:H302">C303+C307+C310</f>
        <v>193721</v>
      </c>
      <c r="D302" s="69">
        <f t="shared" si="82"/>
        <v>150311</v>
      </c>
      <c r="E302" s="69">
        <f t="shared" si="82"/>
        <v>154187</v>
      </c>
      <c r="F302" s="69">
        <f t="shared" si="82"/>
        <v>197597</v>
      </c>
      <c r="G302" s="69">
        <f t="shared" si="82"/>
        <v>197597</v>
      </c>
      <c r="H302" s="70">
        <f t="shared" si="82"/>
        <v>0</v>
      </c>
    </row>
    <row r="303" spans="1:8" ht="12">
      <c r="A303" s="47">
        <v>290500</v>
      </c>
      <c r="B303" s="145" t="s">
        <v>202</v>
      </c>
      <c r="C303" s="69">
        <f aca="true" t="shared" si="83" ref="C303:H303">SUM(C304:C306)</f>
        <v>1218</v>
      </c>
      <c r="D303" s="126">
        <f t="shared" si="83"/>
        <v>1242</v>
      </c>
      <c r="E303" s="126">
        <f t="shared" si="83"/>
        <v>7324</v>
      </c>
      <c r="F303" s="126">
        <f t="shared" si="83"/>
        <v>7300</v>
      </c>
      <c r="G303" s="126">
        <f t="shared" si="83"/>
        <v>7300</v>
      </c>
      <c r="H303" s="127">
        <f t="shared" si="83"/>
        <v>0</v>
      </c>
    </row>
    <row r="304" spans="1:8" ht="12">
      <c r="A304" s="47">
        <v>290502</v>
      </c>
      <c r="B304" s="146" t="s">
        <v>203</v>
      </c>
      <c r="C304" s="71">
        <v>1218</v>
      </c>
      <c r="D304" s="124">
        <v>1242</v>
      </c>
      <c r="E304" s="124">
        <f>7300+24</f>
        <v>7324</v>
      </c>
      <c r="F304" s="27">
        <f>C304-D304+E304</f>
        <v>7300</v>
      </c>
      <c r="G304" s="124">
        <v>7300</v>
      </c>
      <c r="H304" s="128">
        <v>0</v>
      </c>
    </row>
    <row r="305" spans="1:8" ht="12">
      <c r="A305" s="47">
        <v>290503</v>
      </c>
      <c r="B305" s="146" t="s">
        <v>204</v>
      </c>
      <c r="C305" s="71">
        <v>0</v>
      </c>
      <c r="D305" s="124">
        <v>0</v>
      </c>
      <c r="E305" s="124">
        <v>0</v>
      </c>
      <c r="F305" s="27">
        <f>+C305+D305-E305</f>
        <v>0</v>
      </c>
      <c r="G305" s="124">
        <v>0</v>
      </c>
      <c r="H305" s="128">
        <v>0</v>
      </c>
    </row>
    <row r="306" spans="1:8" ht="12">
      <c r="A306" s="47">
        <v>290590</v>
      </c>
      <c r="B306" s="146" t="s">
        <v>205</v>
      </c>
      <c r="C306" s="71">
        <v>0</v>
      </c>
      <c r="D306" s="124">
        <v>0</v>
      </c>
      <c r="E306" s="124">
        <v>0</v>
      </c>
      <c r="F306" s="27">
        <f>+C306+D306-E306</f>
        <v>0</v>
      </c>
      <c r="G306" s="124">
        <v>0</v>
      </c>
      <c r="H306" s="128">
        <v>0</v>
      </c>
    </row>
    <row r="307" spans="1:8" ht="12">
      <c r="A307" s="47">
        <v>291000</v>
      </c>
      <c r="B307" s="145" t="s">
        <v>206</v>
      </c>
      <c r="C307" s="69">
        <f aca="true" t="shared" si="84" ref="C307:H307">SUM(C308:C309)</f>
        <v>178664</v>
      </c>
      <c r="D307" s="126">
        <f t="shared" si="84"/>
        <v>142815</v>
      </c>
      <c r="E307" s="126">
        <f t="shared" si="84"/>
        <v>146863</v>
      </c>
      <c r="F307" s="126">
        <f t="shared" si="84"/>
        <v>182712</v>
      </c>
      <c r="G307" s="126">
        <f t="shared" si="84"/>
        <v>182712</v>
      </c>
      <c r="H307" s="127">
        <f t="shared" si="84"/>
        <v>0</v>
      </c>
    </row>
    <row r="308" spans="1:8" ht="12">
      <c r="A308" s="47">
        <v>291007</v>
      </c>
      <c r="B308" s="146" t="s">
        <v>207</v>
      </c>
      <c r="C308" s="71">
        <v>0</v>
      </c>
      <c r="D308" s="124">
        <v>0</v>
      </c>
      <c r="E308" s="124">
        <v>0</v>
      </c>
      <c r="F308" s="27">
        <f>+C308+D308-E308</f>
        <v>0</v>
      </c>
      <c r="G308" s="124">
        <v>0</v>
      </c>
      <c r="H308" s="127">
        <v>0</v>
      </c>
    </row>
    <row r="309" spans="1:8" ht="12">
      <c r="A309" s="47">
        <v>291090</v>
      </c>
      <c r="B309" s="146" t="s">
        <v>208</v>
      </c>
      <c r="C309" s="71">
        <v>178664</v>
      </c>
      <c r="D309" s="124">
        <v>142815</v>
      </c>
      <c r="E309" s="124">
        <v>146863</v>
      </c>
      <c r="F309" s="27">
        <f>C309+E309-D309</f>
        <v>182712</v>
      </c>
      <c r="G309" s="124">
        <f>F309</f>
        <v>182712</v>
      </c>
      <c r="H309" s="127">
        <v>0</v>
      </c>
    </row>
    <row r="310" spans="1:8" ht="12">
      <c r="A310" s="47">
        <v>299600</v>
      </c>
      <c r="B310" s="145" t="s">
        <v>209</v>
      </c>
      <c r="C310" s="69">
        <f aca="true" t="shared" si="85" ref="C310:H310">SUM(C311)</f>
        <v>13839</v>
      </c>
      <c r="D310" s="126">
        <f t="shared" si="85"/>
        <v>6254</v>
      </c>
      <c r="E310" s="126">
        <f t="shared" si="85"/>
        <v>0</v>
      </c>
      <c r="F310" s="126">
        <f t="shared" si="85"/>
        <v>7585</v>
      </c>
      <c r="G310" s="126">
        <f t="shared" si="85"/>
        <v>7585</v>
      </c>
      <c r="H310" s="127">
        <f t="shared" si="85"/>
        <v>0</v>
      </c>
    </row>
    <row r="311" spans="1:8" ht="12">
      <c r="A311" s="47">
        <v>299601</v>
      </c>
      <c r="B311" s="146" t="s">
        <v>210</v>
      </c>
      <c r="C311" s="71">
        <v>13839</v>
      </c>
      <c r="D311" s="124">
        <v>6254</v>
      </c>
      <c r="E311" s="124">
        <v>0</v>
      </c>
      <c r="F311" s="27">
        <f>C311-D311+E311</f>
        <v>7585</v>
      </c>
      <c r="G311" s="124">
        <v>7585</v>
      </c>
      <c r="H311" s="128">
        <v>0</v>
      </c>
    </row>
    <row r="312" spans="1:8" ht="12">
      <c r="A312" s="47">
        <v>300000</v>
      </c>
      <c r="B312" s="143" t="s">
        <v>211</v>
      </c>
      <c r="C312" s="69">
        <f aca="true" t="shared" si="86" ref="C312:H312">C313</f>
        <v>-22223444</v>
      </c>
      <c r="D312" s="126">
        <f t="shared" si="86"/>
        <v>262923</v>
      </c>
      <c r="E312" s="126">
        <f t="shared" si="86"/>
        <v>232046</v>
      </c>
      <c r="F312" s="126">
        <f t="shared" si="86"/>
        <v>-22254321</v>
      </c>
      <c r="G312" s="126">
        <f t="shared" si="86"/>
        <v>0</v>
      </c>
      <c r="H312" s="127">
        <f t="shared" si="86"/>
        <v>-22254321</v>
      </c>
    </row>
    <row r="313" spans="1:8" ht="12">
      <c r="A313" s="47">
        <v>310000</v>
      </c>
      <c r="B313" s="143" t="s">
        <v>212</v>
      </c>
      <c r="C313" s="69">
        <f aca="true" t="shared" si="87" ref="C313:H313">C314+C316+C320+C328+C331+C334+C338+C341</f>
        <v>-22223444</v>
      </c>
      <c r="D313" s="69">
        <f t="shared" si="87"/>
        <v>262923</v>
      </c>
      <c r="E313" s="69">
        <f t="shared" si="87"/>
        <v>232046</v>
      </c>
      <c r="F313" s="69">
        <f t="shared" si="87"/>
        <v>-22254321</v>
      </c>
      <c r="G313" s="69">
        <f t="shared" si="87"/>
        <v>0</v>
      </c>
      <c r="H313" s="70">
        <f t="shared" si="87"/>
        <v>-22254321</v>
      </c>
    </row>
    <row r="314" spans="1:8" ht="12">
      <c r="A314" s="47">
        <v>310500</v>
      </c>
      <c r="B314" s="143" t="s">
        <v>213</v>
      </c>
      <c r="C314" s="73">
        <f aca="true" t="shared" si="88" ref="C314:H314">SUM(C315)</f>
        <v>-53613085</v>
      </c>
      <c r="D314" s="130">
        <f t="shared" si="88"/>
        <v>0</v>
      </c>
      <c r="E314" s="130">
        <f t="shared" si="88"/>
        <v>0</v>
      </c>
      <c r="F314" s="130">
        <f t="shared" si="88"/>
        <v>-53613085</v>
      </c>
      <c r="G314" s="130">
        <f t="shared" si="88"/>
        <v>0</v>
      </c>
      <c r="H314" s="131">
        <f t="shared" si="88"/>
        <v>-53613085</v>
      </c>
    </row>
    <row r="315" spans="1:8" ht="12">
      <c r="A315" s="47">
        <v>310501</v>
      </c>
      <c r="B315" s="152" t="s">
        <v>214</v>
      </c>
      <c r="C315" s="76">
        <v>-53613085</v>
      </c>
      <c r="D315" s="124">
        <v>0</v>
      </c>
      <c r="E315" s="124">
        <v>0</v>
      </c>
      <c r="F315" s="27">
        <f>C315-D315+E315</f>
        <v>-53613085</v>
      </c>
      <c r="G315" s="124">
        <v>0</v>
      </c>
      <c r="H315" s="132">
        <f>+F315</f>
        <v>-53613085</v>
      </c>
    </row>
    <row r="316" spans="1:8" ht="12">
      <c r="A316" s="47">
        <v>311000</v>
      </c>
      <c r="B316" s="143" t="s">
        <v>215</v>
      </c>
      <c r="C316" s="60">
        <f aca="true" t="shared" si="89" ref="C316:H316">SUM(C317:C319)</f>
        <v>0</v>
      </c>
      <c r="D316" s="122">
        <f t="shared" si="89"/>
        <v>0</v>
      </c>
      <c r="E316" s="122">
        <f t="shared" si="89"/>
        <v>0</v>
      </c>
      <c r="F316" s="122">
        <f t="shared" si="89"/>
        <v>0</v>
      </c>
      <c r="G316" s="122">
        <f t="shared" si="89"/>
        <v>0</v>
      </c>
      <c r="H316" s="123">
        <f t="shared" si="89"/>
        <v>0</v>
      </c>
    </row>
    <row r="317" spans="1:8" ht="12">
      <c r="A317" s="47">
        <v>311001</v>
      </c>
      <c r="B317" s="144" t="s">
        <v>216</v>
      </c>
      <c r="C317" s="62">
        <v>0</v>
      </c>
      <c r="D317" s="124">
        <v>0</v>
      </c>
      <c r="E317" s="124">
        <v>0</v>
      </c>
      <c r="F317" s="27">
        <f>+C317+D317-E317</f>
        <v>0</v>
      </c>
      <c r="G317" s="124">
        <v>0</v>
      </c>
      <c r="H317" s="132">
        <f aca="true" t="shared" si="90" ref="H317:H346">+F317</f>
        <v>0</v>
      </c>
    </row>
    <row r="318" spans="1:8" ht="12">
      <c r="A318" s="47">
        <v>311002</v>
      </c>
      <c r="B318" s="144" t="s">
        <v>217</v>
      </c>
      <c r="C318" s="62">
        <v>0</v>
      </c>
      <c r="D318" s="124">
        <v>0</v>
      </c>
      <c r="E318" s="124">
        <v>0</v>
      </c>
      <c r="F318" s="27">
        <f>+C318+D318-E318</f>
        <v>0</v>
      </c>
      <c r="G318" s="124">
        <v>0</v>
      </c>
      <c r="H318" s="132">
        <f t="shared" si="90"/>
        <v>0</v>
      </c>
    </row>
    <row r="319" spans="1:8" ht="12">
      <c r="A319" s="47">
        <v>311004</v>
      </c>
      <c r="B319" s="144" t="s">
        <v>218</v>
      </c>
      <c r="C319" s="62">
        <v>0</v>
      </c>
      <c r="D319" s="124">
        <v>0</v>
      </c>
      <c r="E319" s="124">
        <v>0</v>
      </c>
      <c r="F319" s="27">
        <f>+C319+D319-E319</f>
        <v>0</v>
      </c>
      <c r="G319" s="124">
        <v>0</v>
      </c>
      <c r="H319" s="132">
        <f t="shared" si="90"/>
        <v>0</v>
      </c>
    </row>
    <row r="320" spans="1:8" ht="12">
      <c r="A320" s="47">
        <v>311500</v>
      </c>
      <c r="B320" s="143" t="s">
        <v>219</v>
      </c>
      <c r="C320" s="60">
        <f aca="true" t="shared" si="91" ref="C320:H320">SUM(C321:C327)</f>
        <v>3372604</v>
      </c>
      <c r="D320" s="122">
        <f t="shared" si="91"/>
        <v>0</v>
      </c>
      <c r="E320" s="122">
        <f t="shared" si="91"/>
        <v>0</v>
      </c>
      <c r="F320" s="122">
        <f t="shared" si="91"/>
        <v>3372604</v>
      </c>
      <c r="G320" s="122">
        <f t="shared" si="91"/>
        <v>0</v>
      </c>
      <c r="H320" s="123">
        <f t="shared" si="91"/>
        <v>3372604</v>
      </c>
    </row>
    <row r="321" spans="1:8" ht="12">
      <c r="A321" s="47">
        <v>311502</v>
      </c>
      <c r="B321" s="144" t="s">
        <v>220</v>
      </c>
      <c r="C321" s="62">
        <v>0</v>
      </c>
      <c r="D321" s="124">
        <v>0</v>
      </c>
      <c r="E321" s="124">
        <v>0</v>
      </c>
      <c r="F321" s="27">
        <f>+C321+D321-E321</f>
        <v>0</v>
      </c>
      <c r="G321" s="124">
        <v>0</v>
      </c>
      <c r="H321" s="132">
        <f t="shared" si="90"/>
        <v>0</v>
      </c>
    </row>
    <row r="322" spans="1:8" ht="12">
      <c r="A322" s="47">
        <v>311551</v>
      </c>
      <c r="B322" s="144" t="s">
        <v>221</v>
      </c>
      <c r="C322" s="62">
        <v>2923</v>
      </c>
      <c r="D322" s="124">
        <v>0</v>
      </c>
      <c r="E322" s="124">
        <v>0</v>
      </c>
      <c r="F322" s="27">
        <f aca="true" t="shared" si="92" ref="F322:F327">C322-D322+E322</f>
        <v>2923</v>
      </c>
      <c r="G322" s="124">
        <v>0</v>
      </c>
      <c r="H322" s="132">
        <f t="shared" si="90"/>
        <v>2923</v>
      </c>
    </row>
    <row r="323" spans="1:8" ht="12">
      <c r="A323" s="47">
        <v>311552</v>
      </c>
      <c r="B323" s="144" t="s">
        <v>123</v>
      </c>
      <c r="C323" s="62">
        <v>976340</v>
      </c>
      <c r="D323" s="124">
        <v>0</v>
      </c>
      <c r="E323" s="124">
        <v>0</v>
      </c>
      <c r="F323" s="27">
        <f t="shared" si="92"/>
        <v>976340</v>
      </c>
      <c r="G323" s="124">
        <v>0</v>
      </c>
      <c r="H323" s="132">
        <f t="shared" si="90"/>
        <v>976340</v>
      </c>
    </row>
    <row r="324" spans="1:8" ht="12">
      <c r="A324" s="47">
        <v>311562</v>
      </c>
      <c r="B324" s="144" t="s">
        <v>61</v>
      </c>
      <c r="C324" s="62">
        <v>2393341</v>
      </c>
      <c r="D324" s="124">
        <v>0</v>
      </c>
      <c r="E324" s="124">
        <v>0</v>
      </c>
      <c r="F324" s="27">
        <f t="shared" si="92"/>
        <v>2393341</v>
      </c>
      <c r="G324" s="124">
        <v>0</v>
      </c>
      <c r="H324" s="132">
        <f t="shared" si="90"/>
        <v>2393341</v>
      </c>
    </row>
    <row r="325" spans="1:8" ht="12">
      <c r="A325" s="47">
        <v>311569</v>
      </c>
      <c r="B325" s="144" t="s">
        <v>126</v>
      </c>
      <c r="C325" s="62">
        <v>0</v>
      </c>
      <c r="D325" s="124">
        <v>0</v>
      </c>
      <c r="E325" s="124">
        <v>0</v>
      </c>
      <c r="F325" s="27">
        <f t="shared" si="92"/>
        <v>0</v>
      </c>
      <c r="G325" s="124">
        <v>0</v>
      </c>
      <c r="H325" s="132">
        <f t="shared" si="90"/>
        <v>0</v>
      </c>
    </row>
    <row r="326" spans="1:8" ht="12">
      <c r="A326" s="47">
        <v>311570</v>
      </c>
      <c r="B326" s="144" t="s">
        <v>222</v>
      </c>
      <c r="C326" s="62">
        <v>0</v>
      </c>
      <c r="D326" s="124">
        <v>0</v>
      </c>
      <c r="E326" s="124">
        <v>0</v>
      </c>
      <c r="F326" s="27">
        <f t="shared" si="92"/>
        <v>0</v>
      </c>
      <c r="G326" s="124">
        <v>0</v>
      </c>
      <c r="H326" s="132">
        <f t="shared" si="90"/>
        <v>0</v>
      </c>
    </row>
    <row r="327" spans="1:8" ht="24">
      <c r="A327" s="47">
        <v>311571</v>
      </c>
      <c r="B327" s="144" t="s">
        <v>128</v>
      </c>
      <c r="C327" s="62">
        <v>0</v>
      </c>
      <c r="D327" s="124">
        <v>0</v>
      </c>
      <c r="E327" s="124">
        <v>0</v>
      </c>
      <c r="F327" s="27">
        <f t="shared" si="92"/>
        <v>0</v>
      </c>
      <c r="G327" s="124">
        <v>0</v>
      </c>
      <c r="H327" s="132">
        <f t="shared" si="90"/>
        <v>0</v>
      </c>
    </row>
    <row r="328" spans="1:8" ht="12">
      <c r="A328" s="47">
        <v>311700</v>
      </c>
      <c r="B328" s="143" t="s">
        <v>223</v>
      </c>
      <c r="C328" s="60">
        <f aca="true" t="shared" si="93" ref="C328:H328">SUM(C329:C330)</f>
        <v>0</v>
      </c>
      <c r="D328" s="122">
        <f t="shared" si="93"/>
        <v>0</v>
      </c>
      <c r="E328" s="122">
        <f t="shared" si="93"/>
        <v>0</v>
      </c>
      <c r="F328" s="122">
        <f t="shared" si="93"/>
        <v>0</v>
      </c>
      <c r="G328" s="122">
        <f t="shared" si="93"/>
        <v>0</v>
      </c>
      <c r="H328" s="123">
        <f t="shared" si="93"/>
        <v>0</v>
      </c>
    </row>
    <row r="329" spans="1:8" ht="24">
      <c r="A329" s="47">
        <v>311703</v>
      </c>
      <c r="B329" s="144" t="s">
        <v>224</v>
      </c>
      <c r="C329" s="62">
        <v>0</v>
      </c>
      <c r="D329" s="124">
        <v>0</v>
      </c>
      <c r="E329" s="124">
        <v>0</v>
      </c>
      <c r="F329" s="27">
        <f>+C329+D329-E329</f>
        <v>0</v>
      </c>
      <c r="G329" s="124">
        <v>0</v>
      </c>
      <c r="H329" s="132">
        <f t="shared" si="90"/>
        <v>0</v>
      </c>
    </row>
    <row r="330" spans="1:8" ht="12">
      <c r="A330" s="47">
        <v>311725</v>
      </c>
      <c r="B330" s="144" t="s">
        <v>225</v>
      </c>
      <c r="C330" s="62">
        <v>0</v>
      </c>
      <c r="D330" s="124">
        <v>0</v>
      </c>
      <c r="E330" s="124">
        <v>0</v>
      </c>
      <c r="F330" s="27">
        <f>+C330+D330-E330</f>
        <v>0</v>
      </c>
      <c r="G330" s="124">
        <v>0</v>
      </c>
      <c r="H330" s="132">
        <f t="shared" si="90"/>
        <v>0</v>
      </c>
    </row>
    <row r="331" spans="1:8" ht="12">
      <c r="A331" s="47">
        <v>312000</v>
      </c>
      <c r="B331" s="145" t="s">
        <v>226</v>
      </c>
      <c r="C331" s="60">
        <f aca="true" t="shared" si="94" ref="C331:H331">SUM(C332:C333)</f>
        <v>879893</v>
      </c>
      <c r="D331" s="122">
        <f t="shared" si="94"/>
        <v>0</v>
      </c>
      <c r="E331" s="122">
        <f t="shared" si="94"/>
        <v>0</v>
      </c>
      <c r="F331" s="122">
        <f t="shared" si="94"/>
        <v>879893</v>
      </c>
      <c r="G331" s="122">
        <f t="shared" si="94"/>
        <v>0</v>
      </c>
      <c r="H331" s="123">
        <f t="shared" si="94"/>
        <v>879893</v>
      </c>
    </row>
    <row r="332" spans="1:8" ht="12">
      <c r="A332" s="47">
        <v>312001</v>
      </c>
      <c r="B332" s="146" t="s">
        <v>227</v>
      </c>
      <c r="C332" s="62">
        <v>0</v>
      </c>
      <c r="D332" s="124">
        <v>0</v>
      </c>
      <c r="E332" s="124">
        <v>0</v>
      </c>
      <c r="F332" s="27">
        <f>+C332+D332-E332</f>
        <v>0</v>
      </c>
      <c r="G332" s="124">
        <v>0</v>
      </c>
      <c r="H332" s="132">
        <f t="shared" si="90"/>
        <v>0</v>
      </c>
    </row>
    <row r="333" spans="1:8" ht="12">
      <c r="A333" s="47">
        <v>312002</v>
      </c>
      <c r="B333" s="144" t="s">
        <v>228</v>
      </c>
      <c r="C333" s="62">
        <v>879893</v>
      </c>
      <c r="D333" s="124">
        <v>0</v>
      </c>
      <c r="E333" s="124">
        <v>0</v>
      </c>
      <c r="F333" s="27">
        <f>C333-D333+E333</f>
        <v>879893</v>
      </c>
      <c r="G333" s="124">
        <v>0</v>
      </c>
      <c r="H333" s="132">
        <f t="shared" si="90"/>
        <v>879893</v>
      </c>
    </row>
    <row r="334" spans="1:8" ht="12">
      <c r="A334" s="47">
        <v>312500</v>
      </c>
      <c r="B334" s="143" t="s">
        <v>229</v>
      </c>
      <c r="C334" s="60">
        <f aca="true" t="shared" si="95" ref="C334:H334">SUM(C335:C337)</f>
        <v>27133235</v>
      </c>
      <c r="D334" s="122">
        <f t="shared" si="95"/>
        <v>204000</v>
      </c>
      <c r="E334" s="122">
        <f t="shared" si="95"/>
        <v>225792</v>
      </c>
      <c r="F334" s="122">
        <f t="shared" si="95"/>
        <v>27155027</v>
      </c>
      <c r="G334" s="122">
        <f t="shared" si="95"/>
        <v>0</v>
      </c>
      <c r="H334" s="123">
        <f t="shared" si="95"/>
        <v>27155027</v>
      </c>
    </row>
    <row r="335" spans="1:8" ht="12">
      <c r="A335" s="47">
        <v>312505</v>
      </c>
      <c r="B335" s="144" t="s">
        <v>230</v>
      </c>
      <c r="C335" s="62">
        <v>10263271</v>
      </c>
      <c r="D335" s="124">
        <v>0</v>
      </c>
      <c r="E335" s="124">
        <v>18792</v>
      </c>
      <c r="F335" s="27">
        <f>C335-D335+E335</f>
        <v>10282063</v>
      </c>
      <c r="G335" s="124">
        <v>0</v>
      </c>
      <c r="H335" s="132">
        <f t="shared" si="90"/>
        <v>10282063</v>
      </c>
    </row>
    <row r="336" spans="1:8" ht="12">
      <c r="A336" s="47">
        <v>312506</v>
      </c>
      <c r="B336" s="144" t="s">
        <v>118</v>
      </c>
      <c r="C336" s="62">
        <v>16869964</v>
      </c>
      <c r="D336" s="124">
        <v>204000</v>
      </c>
      <c r="E336" s="124">
        <v>207000</v>
      </c>
      <c r="F336" s="27">
        <f>C336-D336+E336</f>
        <v>16872964</v>
      </c>
      <c r="G336" s="124">
        <v>0</v>
      </c>
      <c r="H336" s="132">
        <f t="shared" si="90"/>
        <v>16872964</v>
      </c>
    </row>
    <row r="337" spans="1:8" ht="12">
      <c r="A337" s="47">
        <v>312509</v>
      </c>
      <c r="B337" s="144" t="s">
        <v>231</v>
      </c>
      <c r="C337" s="62">
        <v>0</v>
      </c>
      <c r="D337" s="124">
        <v>0</v>
      </c>
      <c r="E337" s="124">
        <v>0</v>
      </c>
      <c r="F337" s="27">
        <f>+C337+D337-E337</f>
        <v>0</v>
      </c>
      <c r="G337" s="124">
        <v>0</v>
      </c>
      <c r="H337" s="132">
        <f t="shared" si="90"/>
        <v>0</v>
      </c>
    </row>
    <row r="338" spans="1:8" ht="12">
      <c r="A338" s="47">
        <v>313000</v>
      </c>
      <c r="B338" s="145" t="s">
        <v>232</v>
      </c>
      <c r="C338" s="60">
        <f aca="true" t="shared" si="96" ref="C338:H338">SUM(C339:C340)</f>
        <v>0</v>
      </c>
      <c r="D338" s="122">
        <f t="shared" si="96"/>
        <v>0</v>
      </c>
      <c r="E338" s="122">
        <f t="shared" si="96"/>
        <v>0</v>
      </c>
      <c r="F338" s="122">
        <f t="shared" si="96"/>
        <v>0</v>
      </c>
      <c r="G338" s="122">
        <f t="shared" si="96"/>
        <v>0</v>
      </c>
      <c r="H338" s="123">
        <f t="shared" si="96"/>
        <v>0</v>
      </c>
    </row>
    <row r="339" spans="1:8" ht="12">
      <c r="A339" s="47">
        <v>313001</v>
      </c>
      <c r="B339" s="144" t="s">
        <v>233</v>
      </c>
      <c r="C339" s="62">
        <v>0</v>
      </c>
      <c r="D339" s="124">
        <v>0</v>
      </c>
      <c r="E339" s="124">
        <v>0</v>
      </c>
      <c r="F339" s="27">
        <f>+C339+D339-E339</f>
        <v>0</v>
      </c>
      <c r="G339" s="124">
        <v>0</v>
      </c>
      <c r="H339" s="132">
        <f t="shared" si="90"/>
        <v>0</v>
      </c>
    </row>
    <row r="340" spans="1:8" ht="12">
      <c r="A340" s="47">
        <v>313002</v>
      </c>
      <c r="B340" s="146" t="s">
        <v>234</v>
      </c>
      <c r="C340" s="62">
        <v>0</v>
      </c>
      <c r="D340" s="124">
        <v>0</v>
      </c>
      <c r="E340" s="124">
        <v>0</v>
      </c>
      <c r="F340" s="27">
        <f>+C340+D340-E340</f>
        <v>0</v>
      </c>
      <c r="G340" s="124">
        <v>0</v>
      </c>
      <c r="H340" s="132">
        <f t="shared" si="90"/>
        <v>0</v>
      </c>
    </row>
    <row r="341" spans="1:8" ht="12">
      <c r="A341" s="47">
        <v>313800</v>
      </c>
      <c r="B341" s="143" t="s">
        <v>235</v>
      </c>
      <c r="C341" s="60">
        <f aca="true" t="shared" si="97" ref="C341:H341">SUM(C342:C346)</f>
        <v>3909</v>
      </c>
      <c r="D341" s="122">
        <f t="shared" si="97"/>
        <v>58923</v>
      </c>
      <c r="E341" s="122">
        <f t="shared" si="97"/>
        <v>6254</v>
      </c>
      <c r="F341" s="122">
        <f t="shared" si="97"/>
        <v>-48760</v>
      </c>
      <c r="G341" s="122">
        <f t="shared" si="97"/>
        <v>0</v>
      </c>
      <c r="H341" s="123">
        <f t="shared" si="97"/>
        <v>-48760</v>
      </c>
    </row>
    <row r="342" spans="1:8" ht="12">
      <c r="A342" s="47">
        <v>313801</v>
      </c>
      <c r="B342" s="144" t="s">
        <v>236</v>
      </c>
      <c r="C342" s="62">
        <v>-2914</v>
      </c>
      <c r="D342" s="124">
        <v>313</v>
      </c>
      <c r="E342" s="124">
        <v>0</v>
      </c>
      <c r="F342" s="27">
        <f>C342-D342+E342</f>
        <v>-3227</v>
      </c>
      <c r="G342" s="124">
        <v>0</v>
      </c>
      <c r="H342" s="132">
        <f t="shared" si="90"/>
        <v>-3227</v>
      </c>
    </row>
    <row r="343" spans="1:8" ht="12">
      <c r="A343" s="47">
        <v>313804</v>
      </c>
      <c r="B343" s="144" t="s">
        <v>117</v>
      </c>
      <c r="C343" s="62">
        <v>-3621</v>
      </c>
      <c r="D343" s="124">
        <v>58610</v>
      </c>
      <c r="E343" s="124">
        <v>0</v>
      </c>
      <c r="F343" s="27">
        <f>C343-D343+E343</f>
        <v>-62231</v>
      </c>
      <c r="G343" s="124">
        <v>0</v>
      </c>
      <c r="H343" s="132">
        <f t="shared" si="90"/>
        <v>-62231</v>
      </c>
    </row>
    <row r="344" spans="1:8" ht="12">
      <c r="A344" s="47">
        <v>313805</v>
      </c>
      <c r="B344" s="144" t="s">
        <v>230</v>
      </c>
      <c r="C344" s="62">
        <v>-32880</v>
      </c>
      <c r="D344" s="124">
        <v>0</v>
      </c>
      <c r="E344" s="124">
        <v>0</v>
      </c>
      <c r="F344" s="27">
        <f>C344-D344+E344</f>
        <v>-32880</v>
      </c>
      <c r="G344" s="124">
        <v>0</v>
      </c>
      <c r="H344" s="132">
        <f t="shared" si="90"/>
        <v>-32880</v>
      </c>
    </row>
    <row r="345" spans="1:8" ht="12">
      <c r="A345" s="47">
        <v>313806</v>
      </c>
      <c r="B345" s="144" t="s">
        <v>220</v>
      </c>
      <c r="C345" s="62">
        <v>0</v>
      </c>
      <c r="D345" s="124">
        <v>0</v>
      </c>
      <c r="E345" s="124">
        <v>0</v>
      </c>
      <c r="F345" s="27">
        <f>+C345+D345-E345</f>
        <v>0</v>
      </c>
      <c r="G345" s="124">
        <v>0</v>
      </c>
      <c r="H345" s="132">
        <f t="shared" si="90"/>
        <v>0</v>
      </c>
    </row>
    <row r="346" spans="1:8" ht="12">
      <c r="A346" s="47">
        <v>313812</v>
      </c>
      <c r="B346" s="144" t="s">
        <v>210</v>
      </c>
      <c r="C346" s="62">
        <v>43324</v>
      </c>
      <c r="D346" s="124">
        <v>0</v>
      </c>
      <c r="E346" s="124">
        <v>6254</v>
      </c>
      <c r="F346" s="27">
        <f>C346-D346+E346</f>
        <v>49578</v>
      </c>
      <c r="G346" s="124">
        <v>0</v>
      </c>
      <c r="H346" s="132">
        <f t="shared" si="90"/>
        <v>49578</v>
      </c>
    </row>
    <row r="347" spans="1:8" ht="12">
      <c r="A347" s="78">
        <v>400000</v>
      </c>
      <c r="B347" s="153" t="s">
        <v>237</v>
      </c>
      <c r="C347" s="54">
        <f aca="true" t="shared" si="98" ref="C347:H347">C348+C364+C372+C375+C393</f>
        <v>2857026612</v>
      </c>
      <c r="D347" s="118">
        <f t="shared" si="98"/>
        <v>76451881</v>
      </c>
      <c r="E347" s="118">
        <f t="shared" si="98"/>
        <v>3108450200</v>
      </c>
      <c r="F347" s="118">
        <f t="shared" si="98"/>
        <v>5889024931</v>
      </c>
      <c r="G347" s="118">
        <f t="shared" si="98"/>
        <v>0</v>
      </c>
      <c r="H347" s="119">
        <f t="shared" si="98"/>
        <v>5889024931</v>
      </c>
    </row>
    <row r="348" spans="1:8" ht="12">
      <c r="A348" s="78">
        <v>410000</v>
      </c>
      <c r="B348" s="153" t="s">
        <v>238</v>
      </c>
      <c r="C348" s="54">
        <f aca="true" t="shared" si="99" ref="C348:H348">C349+C356+C361</f>
        <v>21220966</v>
      </c>
      <c r="D348" s="54">
        <f t="shared" si="99"/>
        <v>474294</v>
      </c>
      <c r="E348" s="54">
        <f t="shared" si="99"/>
        <v>66106775</v>
      </c>
      <c r="F348" s="54">
        <f t="shared" si="99"/>
        <v>86853447</v>
      </c>
      <c r="G348" s="54">
        <f t="shared" si="99"/>
        <v>0</v>
      </c>
      <c r="H348" s="55">
        <f t="shared" si="99"/>
        <v>86853447</v>
      </c>
    </row>
    <row r="349" spans="1:8" ht="12">
      <c r="A349" s="78">
        <v>411000</v>
      </c>
      <c r="B349" s="153" t="s">
        <v>239</v>
      </c>
      <c r="C349" s="54">
        <f aca="true" t="shared" si="100" ref="C349:H349">SUM(C350:C355)</f>
        <v>70</v>
      </c>
      <c r="D349" s="118">
        <f t="shared" si="100"/>
        <v>0</v>
      </c>
      <c r="E349" s="118">
        <f t="shared" si="100"/>
        <v>25023812</v>
      </c>
      <c r="F349" s="118">
        <f t="shared" si="100"/>
        <v>25023882</v>
      </c>
      <c r="G349" s="118">
        <f t="shared" si="100"/>
        <v>0</v>
      </c>
      <c r="H349" s="119">
        <f t="shared" si="100"/>
        <v>25023882</v>
      </c>
    </row>
    <row r="350" spans="1:8" ht="12">
      <c r="A350" s="78">
        <v>411001</v>
      </c>
      <c r="B350" s="154" t="s">
        <v>2803</v>
      </c>
      <c r="C350" s="56">
        <v>0</v>
      </c>
      <c r="D350" s="121">
        <v>0</v>
      </c>
      <c r="E350" s="121">
        <v>25000904</v>
      </c>
      <c r="F350" s="27">
        <f>C350-D350+E350</f>
        <v>25000904</v>
      </c>
      <c r="G350" s="121">
        <v>0</v>
      </c>
      <c r="H350" s="132">
        <f aca="true" t="shared" si="101" ref="H350:H360">+F350</f>
        <v>25000904</v>
      </c>
    </row>
    <row r="351" spans="1:8" ht="12">
      <c r="A351" s="78">
        <v>411002</v>
      </c>
      <c r="B351" s="154" t="s">
        <v>2804</v>
      </c>
      <c r="C351" s="56">
        <v>0</v>
      </c>
      <c r="D351" s="121">
        <v>0</v>
      </c>
      <c r="E351" s="121">
        <v>15051</v>
      </c>
      <c r="F351" s="27">
        <f>C351-D351+E351</f>
        <v>15051</v>
      </c>
      <c r="G351" s="121">
        <v>0</v>
      </c>
      <c r="H351" s="132">
        <f t="shared" si="101"/>
        <v>15051</v>
      </c>
    </row>
    <row r="352" spans="1:8" ht="12">
      <c r="A352" s="78">
        <v>411016</v>
      </c>
      <c r="B352" s="154" t="s">
        <v>240</v>
      </c>
      <c r="C352" s="56">
        <v>0</v>
      </c>
      <c r="D352" s="121">
        <v>0</v>
      </c>
      <c r="E352" s="121">
        <v>7827</v>
      </c>
      <c r="F352" s="27">
        <f>C352-D352+E352</f>
        <v>7827</v>
      </c>
      <c r="G352" s="121">
        <v>0</v>
      </c>
      <c r="H352" s="132">
        <f t="shared" si="101"/>
        <v>7827</v>
      </c>
    </row>
    <row r="353" spans="1:8" ht="12">
      <c r="A353" s="78">
        <v>411021</v>
      </c>
      <c r="B353" s="154" t="s">
        <v>241</v>
      </c>
      <c r="C353" s="56">
        <v>0</v>
      </c>
      <c r="D353" s="121">
        <v>0</v>
      </c>
      <c r="E353" s="121">
        <v>0</v>
      </c>
      <c r="F353" s="27">
        <f>+C353+D353-E353</f>
        <v>0</v>
      </c>
      <c r="G353" s="121">
        <v>0</v>
      </c>
      <c r="H353" s="132">
        <f t="shared" si="101"/>
        <v>0</v>
      </c>
    </row>
    <row r="354" spans="1:8" ht="12">
      <c r="A354" s="78">
        <v>411032</v>
      </c>
      <c r="B354" s="154" t="s">
        <v>242</v>
      </c>
      <c r="C354" s="56">
        <v>0</v>
      </c>
      <c r="D354" s="121">
        <v>0</v>
      </c>
      <c r="E354" s="121">
        <v>0</v>
      </c>
      <c r="F354" s="27">
        <f>+C354+D354-E354</f>
        <v>0</v>
      </c>
      <c r="G354" s="121">
        <v>0</v>
      </c>
      <c r="H354" s="132">
        <f t="shared" si="101"/>
        <v>0</v>
      </c>
    </row>
    <row r="355" spans="1:8" ht="12">
      <c r="A355" s="78">
        <v>411090</v>
      </c>
      <c r="B355" s="154" t="s">
        <v>243</v>
      </c>
      <c r="C355" s="56">
        <v>70</v>
      </c>
      <c r="D355" s="121">
        <v>0</v>
      </c>
      <c r="E355" s="121">
        <v>30</v>
      </c>
      <c r="F355" s="27">
        <f>C355-D355+E355</f>
        <v>100</v>
      </c>
      <c r="G355" s="121">
        <v>0</v>
      </c>
      <c r="H355" s="132">
        <f t="shared" si="101"/>
        <v>100</v>
      </c>
    </row>
    <row r="356" spans="1:8" ht="12">
      <c r="A356" s="78">
        <v>412000</v>
      </c>
      <c r="B356" s="153" t="s">
        <v>244</v>
      </c>
      <c r="C356" s="54">
        <f aca="true" t="shared" si="102" ref="C356:H356">SUM(C357:C360)</f>
        <v>21220896</v>
      </c>
      <c r="D356" s="118">
        <f t="shared" si="102"/>
        <v>474294</v>
      </c>
      <c r="E356" s="118">
        <f t="shared" si="102"/>
        <v>41082963</v>
      </c>
      <c r="F356" s="118">
        <f t="shared" si="102"/>
        <v>61829565</v>
      </c>
      <c r="G356" s="118">
        <f t="shared" si="102"/>
        <v>0</v>
      </c>
      <c r="H356" s="119">
        <f t="shared" si="102"/>
        <v>61829565</v>
      </c>
    </row>
    <row r="357" spans="1:8" ht="24">
      <c r="A357" s="78">
        <v>412014</v>
      </c>
      <c r="B357" s="154" t="s">
        <v>245</v>
      </c>
      <c r="C357" s="56">
        <v>20304820</v>
      </c>
      <c r="D357" s="121">
        <v>474025</v>
      </c>
      <c r="E357" s="121">
        <f>37749821+1583356</f>
        <v>39333177</v>
      </c>
      <c r="F357" s="27">
        <f>C357-D357+E357</f>
        <v>59163972</v>
      </c>
      <c r="G357" s="121">
        <v>0</v>
      </c>
      <c r="H357" s="132">
        <f t="shared" si="101"/>
        <v>59163972</v>
      </c>
    </row>
    <row r="358" spans="1:8" ht="12">
      <c r="A358" s="78">
        <v>412015</v>
      </c>
      <c r="B358" s="154" t="s">
        <v>2808</v>
      </c>
      <c r="C358" s="56">
        <v>611191</v>
      </c>
      <c r="D358" s="121">
        <v>269</v>
      </c>
      <c r="E358" s="121">
        <v>625858</v>
      </c>
      <c r="F358" s="27">
        <f>C358-D358+E358</f>
        <v>1236780</v>
      </c>
      <c r="G358" s="121">
        <v>0</v>
      </c>
      <c r="H358" s="132">
        <f t="shared" si="101"/>
        <v>1236780</v>
      </c>
    </row>
    <row r="359" spans="1:8" ht="24">
      <c r="A359" s="78">
        <v>412043</v>
      </c>
      <c r="B359" s="154" t="s">
        <v>246</v>
      </c>
      <c r="C359" s="56">
        <v>304885</v>
      </c>
      <c r="D359" s="121">
        <v>0</v>
      </c>
      <c r="E359" s="121">
        <f>657772+466156</f>
        <v>1123928</v>
      </c>
      <c r="F359" s="27">
        <f>C359-D359+E359</f>
        <v>1428813</v>
      </c>
      <c r="G359" s="121">
        <v>0</v>
      </c>
      <c r="H359" s="132">
        <f t="shared" si="101"/>
        <v>1428813</v>
      </c>
    </row>
    <row r="360" spans="1:8" ht="12">
      <c r="A360" s="78">
        <v>412090</v>
      </c>
      <c r="B360" s="154" t="s">
        <v>247</v>
      </c>
      <c r="C360" s="56">
        <v>0</v>
      </c>
      <c r="D360" s="121">
        <v>0</v>
      </c>
      <c r="E360" s="121">
        <v>0</v>
      </c>
      <c r="F360" s="27">
        <f>+C360+D360-E360</f>
        <v>0</v>
      </c>
      <c r="G360" s="121">
        <v>0</v>
      </c>
      <c r="H360" s="132">
        <f t="shared" si="101"/>
        <v>0</v>
      </c>
    </row>
    <row r="361" spans="1:8" ht="12">
      <c r="A361" s="78">
        <v>419500</v>
      </c>
      <c r="B361" s="153" t="s">
        <v>248</v>
      </c>
      <c r="C361" s="54">
        <f aca="true" t="shared" si="103" ref="C361:H361">SUM(C362:C363)</f>
        <v>0</v>
      </c>
      <c r="D361" s="118">
        <f t="shared" si="103"/>
        <v>0</v>
      </c>
      <c r="E361" s="118">
        <f t="shared" si="103"/>
        <v>0</v>
      </c>
      <c r="F361" s="118">
        <f t="shared" si="103"/>
        <v>0</v>
      </c>
      <c r="G361" s="118">
        <f t="shared" si="103"/>
        <v>0</v>
      </c>
      <c r="H361" s="119">
        <f t="shared" si="103"/>
        <v>0</v>
      </c>
    </row>
    <row r="362" spans="1:8" ht="12">
      <c r="A362" s="78">
        <v>419502</v>
      </c>
      <c r="B362" s="154" t="s">
        <v>249</v>
      </c>
      <c r="C362" s="56">
        <v>0</v>
      </c>
      <c r="D362" s="121">
        <v>0</v>
      </c>
      <c r="E362" s="121">
        <v>0</v>
      </c>
      <c r="F362" s="27">
        <f>+C362+D362-E362</f>
        <v>0</v>
      </c>
      <c r="G362" s="121">
        <v>0</v>
      </c>
      <c r="H362" s="120">
        <v>0</v>
      </c>
    </row>
    <row r="363" spans="1:8" ht="12">
      <c r="A363" s="78">
        <v>419504</v>
      </c>
      <c r="B363" s="154" t="s">
        <v>250</v>
      </c>
      <c r="C363" s="56">
        <v>0</v>
      </c>
      <c r="D363" s="121">
        <v>0</v>
      </c>
      <c r="E363" s="121">
        <v>0</v>
      </c>
      <c r="F363" s="27">
        <f>+C363+D363-E363</f>
        <v>0</v>
      </c>
      <c r="G363" s="121">
        <v>0</v>
      </c>
      <c r="H363" s="120">
        <v>0</v>
      </c>
    </row>
    <row r="364" spans="1:8" ht="12">
      <c r="A364" s="78">
        <v>430000</v>
      </c>
      <c r="B364" s="153" t="s">
        <v>251</v>
      </c>
      <c r="C364" s="54">
        <f aca="true" t="shared" si="104" ref="C364:H364">C365+C368+C370</f>
        <v>2139836</v>
      </c>
      <c r="D364" s="54">
        <f t="shared" si="104"/>
        <v>45220</v>
      </c>
      <c r="E364" s="54">
        <f t="shared" si="104"/>
        <v>596679</v>
      </c>
      <c r="F364" s="54">
        <f t="shared" si="104"/>
        <v>2691295</v>
      </c>
      <c r="G364" s="54">
        <f t="shared" si="104"/>
        <v>0</v>
      </c>
      <c r="H364" s="54">
        <f t="shared" si="104"/>
        <v>2691295</v>
      </c>
    </row>
    <row r="365" spans="1:8" ht="12">
      <c r="A365" s="78">
        <v>430500</v>
      </c>
      <c r="B365" s="153" t="s">
        <v>252</v>
      </c>
      <c r="C365" s="56">
        <f aca="true" t="shared" si="105" ref="C365:H365">SUM(C366:C367)</f>
        <v>2346578</v>
      </c>
      <c r="D365" s="121">
        <f t="shared" si="105"/>
        <v>0</v>
      </c>
      <c r="E365" s="121">
        <f t="shared" si="105"/>
        <v>593581</v>
      </c>
      <c r="F365" s="121">
        <f t="shared" si="105"/>
        <v>2940159</v>
      </c>
      <c r="G365" s="121">
        <f t="shared" si="105"/>
        <v>0</v>
      </c>
      <c r="H365" s="121">
        <f t="shared" si="105"/>
        <v>2940159</v>
      </c>
    </row>
    <row r="366" spans="1:8" ht="24">
      <c r="A366" s="78">
        <v>430512</v>
      </c>
      <c r="B366" s="154" t="s">
        <v>253</v>
      </c>
      <c r="C366" s="56">
        <v>2332650</v>
      </c>
      <c r="D366" s="121">
        <v>0</v>
      </c>
      <c r="E366" s="121">
        <f>582905+1676</f>
        <v>584581</v>
      </c>
      <c r="F366" s="27">
        <f>C366-D366+E366</f>
        <v>2917231</v>
      </c>
      <c r="G366" s="121">
        <v>0</v>
      </c>
      <c r="H366" s="120">
        <f>F366</f>
        <v>2917231</v>
      </c>
    </row>
    <row r="367" spans="1:8" ht="12">
      <c r="A367" s="78">
        <v>430515</v>
      </c>
      <c r="B367" s="154" t="s">
        <v>254</v>
      </c>
      <c r="C367" s="56">
        <v>13928</v>
      </c>
      <c r="D367" s="121">
        <v>0</v>
      </c>
      <c r="E367" s="121">
        <v>9000</v>
      </c>
      <c r="F367" s="27">
        <f>C367-D367+E367</f>
        <v>22928</v>
      </c>
      <c r="G367" s="121">
        <v>0</v>
      </c>
      <c r="H367" s="120">
        <f>F367</f>
        <v>22928</v>
      </c>
    </row>
    <row r="368" spans="1:8" ht="12">
      <c r="A368" s="78">
        <v>439000</v>
      </c>
      <c r="B368" s="153" t="s">
        <v>255</v>
      </c>
      <c r="C368" s="56">
        <f aca="true" t="shared" si="106" ref="C368:H368">SUM(C369)</f>
        <v>0</v>
      </c>
      <c r="D368" s="121">
        <f t="shared" si="106"/>
        <v>0</v>
      </c>
      <c r="E368" s="121">
        <f t="shared" si="106"/>
        <v>0</v>
      </c>
      <c r="F368" s="27">
        <f>C368-D368+E368</f>
        <v>0</v>
      </c>
      <c r="G368" s="121">
        <f t="shared" si="106"/>
        <v>0</v>
      </c>
      <c r="H368" s="120">
        <f t="shared" si="106"/>
        <v>0</v>
      </c>
    </row>
    <row r="369" spans="1:8" ht="12">
      <c r="A369" s="78">
        <v>439023</v>
      </c>
      <c r="B369" s="154" t="s">
        <v>0</v>
      </c>
      <c r="C369" s="56"/>
      <c r="D369" s="121"/>
      <c r="E369" s="121">
        <v>0</v>
      </c>
      <c r="F369" s="27">
        <f>C369-D369+E369</f>
        <v>0</v>
      </c>
      <c r="G369" s="121"/>
      <c r="H369" s="120">
        <f>F369</f>
        <v>0</v>
      </c>
    </row>
    <row r="370" spans="1:8" ht="24">
      <c r="A370" s="78">
        <v>439500</v>
      </c>
      <c r="B370" s="153" t="s">
        <v>256</v>
      </c>
      <c r="C370" s="54">
        <f>SUM(C371)</f>
        <v>-206742</v>
      </c>
      <c r="D370" s="118">
        <f>SUM(D371)</f>
        <v>45220</v>
      </c>
      <c r="E370" s="118">
        <f>SUM(E371)</f>
        <v>3098</v>
      </c>
      <c r="F370" s="118">
        <f>SUM(F371)</f>
        <v>-248864</v>
      </c>
      <c r="G370" s="118">
        <f>SUM(G371)</f>
        <v>0</v>
      </c>
      <c r="H370" s="119">
        <f>F370</f>
        <v>-248864</v>
      </c>
    </row>
    <row r="371" spans="1:8" ht="12">
      <c r="A371" s="78">
        <v>439501</v>
      </c>
      <c r="B371" s="154" t="s">
        <v>2811</v>
      </c>
      <c r="C371" s="56">
        <v>-206742</v>
      </c>
      <c r="D371" s="121">
        <v>45220</v>
      </c>
      <c r="E371" s="121">
        <v>3098</v>
      </c>
      <c r="F371" s="27">
        <f>C371-D371+E371</f>
        <v>-248864</v>
      </c>
      <c r="G371" s="121">
        <v>0</v>
      </c>
      <c r="H371" s="120">
        <f>F371</f>
        <v>-248864</v>
      </c>
    </row>
    <row r="372" spans="1:9" ht="12">
      <c r="A372" s="78">
        <v>440000</v>
      </c>
      <c r="B372" s="153" t="s">
        <v>257</v>
      </c>
      <c r="C372" s="54">
        <f aca="true" t="shared" si="107" ref="C372:H372">C373</f>
        <v>203797</v>
      </c>
      <c r="D372" s="54">
        <f t="shared" si="107"/>
        <v>0</v>
      </c>
      <c r="E372" s="54">
        <f t="shared" si="107"/>
        <v>727462</v>
      </c>
      <c r="F372" s="54">
        <f t="shared" si="107"/>
        <v>931259</v>
      </c>
      <c r="G372" s="54">
        <f t="shared" si="107"/>
        <v>0</v>
      </c>
      <c r="H372" s="55">
        <f t="shared" si="107"/>
        <v>931259</v>
      </c>
      <c r="I372" s="37"/>
    </row>
    <row r="373" spans="1:8" ht="24">
      <c r="A373" s="78">
        <v>440300</v>
      </c>
      <c r="B373" s="153" t="s">
        <v>258</v>
      </c>
      <c r="C373" s="56">
        <f aca="true" t="shared" si="108" ref="C373:H373">SUM(C374)</f>
        <v>203797</v>
      </c>
      <c r="D373" s="121">
        <f t="shared" si="108"/>
        <v>0</v>
      </c>
      <c r="E373" s="121">
        <f t="shared" si="108"/>
        <v>727462</v>
      </c>
      <c r="F373" s="121">
        <f t="shared" si="108"/>
        <v>931259</v>
      </c>
      <c r="G373" s="121">
        <f t="shared" si="108"/>
        <v>0</v>
      </c>
      <c r="H373" s="120">
        <f t="shared" si="108"/>
        <v>931259</v>
      </c>
    </row>
    <row r="374" spans="1:8" ht="12">
      <c r="A374" s="78">
        <v>440301</v>
      </c>
      <c r="B374" s="154" t="s">
        <v>259</v>
      </c>
      <c r="C374" s="56">
        <v>203797</v>
      </c>
      <c r="D374" s="121">
        <v>0</v>
      </c>
      <c r="E374" s="121">
        <v>727462</v>
      </c>
      <c r="F374" s="27">
        <f>C374-D374+E374</f>
        <v>931259</v>
      </c>
      <c r="G374" s="121">
        <v>0</v>
      </c>
      <c r="H374" s="120">
        <f>F374</f>
        <v>931259</v>
      </c>
    </row>
    <row r="375" spans="1:8" ht="12">
      <c r="A375" s="78">
        <v>470000</v>
      </c>
      <c r="B375" s="153" t="s">
        <v>260</v>
      </c>
      <c r="C375" s="54">
        <f aca="true" t="shared" si="109" ref="C375:H375">C376+C382+C386+C391</f>
        <v>2830512292</v>
      </c>
      <c r="D375" s="54">
        <f t="shared" si="109"/>
        <v>75359097</v>
      </c>
      <c r="E375" s="54">
        <f t="shared" si="109"/>
        <v>2914107767</v>
      </c>
      <c r="F375" s="54">
        <f t="shared" si="109"/>
        <v>5669260962</v>
      </c>
      <c r="G375" s="54">
        <f t="shared" si="109"/>
        <v>0</v>
      </c>
      <c r="H375" s="55">
        <f t="shared" si="109"/>
        <v>5669260962</v>
      </c>
    </row>
    <row r="376" spans="1:8" ht="24">
      <c r="A376" s="78">
        <v>470500</v>
      </c>
      <c r="B376" s="153" t="s">
        <v>261</v>
      </c>
      <c r="C376" s="54">
        <f aca="true" t="shared" si="110" ref="C376:H376">SUM(C377:C381)</f>
        <v>2830512292</v>
      </c>
      <c r="D376" s="118">
        <f t="shared" si="110"/>
        <v>44485</v>
      </c>
      <c r="E376" s="118">
        <f t="shared" si="110"/>
        <v>2831709674</v>
      </c>
      <c r="F376" s="118">
        <f t="shared" si="110"/>
        <v>5662177481</v>
      </c>
      <c r="G376" s="118">
        <f t="shared" si="110"/>
        <v>0</v>
      </c>
      <c r="H376" s="119">
        <f t="shared" si="110"/>
        <v>5662177481</v>
      </c>
    </row>
    <row r="377" spans="1:8" ht="12">
      <c r="A377" s="78">
        <v>470501</v>
      </c>
      <c r="B377" s="154" t="s">
        <v>262</v>
      </c>
      <c r="C377" s="56">
        <v>3213835</v>
      </c>
      <c r="D377" s="121">
        <v>0</v>
      </c>
      <c r="E377" s="121">
        <v>3589999</v>
      </c>
      <c r="F377" s="27">
        <f>C377-D377+E377</f>
        <v>6803834</v>
      </c>
      <c r="G377" s="121">
        <v>0</v>
      </c>
      <c r="H377" s="132">
        <f aca="true" t="shared" si="111" ref="H377:H392">+F377</f>
        <v>6803834</v>
      </c>
    </row>
    <row r="378" spans="1:8" ht="12">
      <c r="A378" s="78">
        <v>470502</v>
      </c>
      <c r="B378" s="154" t="s">
        <v>263</v>
      </c>
      <c r="C378" s="56">
        <v>453726</v>
      </c>
      <c r="D378" s="121">
        <f>33858+10627</f>
        <v>44485</v>
      </c>
      <c r="E378" s="121">
        <v>616351</v>
      </c>
      <c r="F378" s="27">
        <f>C378-D378+E378</f>
        <v>1025592</v>
      </c>
      <c r="G378" s="121">
        <v>0</v>
      </c>
      <c r="H378" s="132">
        <f t="shared" si="111"/>
        <v>1025592</v>
      </c>
    </row>
    <row r="379" spans="1:8" ht="12">
      <c r="A379" s="78">
        <v>470505</v>
      </c>
      <c r="B379" s="154" t="s">
        <v>264</v>
      </c>
      <c r="C379" s="56">
        <v>57984477</v>
      </c>
      <c r="D379" s="121">
        <v>0</v>
      </c>
      <c r="E379" s="121">
        <v>55670427</v>
      </c>
      <c r="F379" s="27">
        <f>C379-D379+E379</f>
        <v>113654904</v>
      </c>
      <c r="G379" s="121">
        <v>0</v>
      </c>
      <c r="H379" s="132">
        <f t="shared" si="111"/>
        <v>113654904</v>
      </c>
    </row>
    <row r="380" spans="1:8" ht="12">
      <c r="A380" s="78">
        <v>470506</v>
      </c>
      <c r="B380" s="154" t="s">
        <v>265</v>
      </c>
      <c r="C380" s="56">
        <v>2768860254</v>
      </c>
      <c r="D380" s="121">
        <v>0</v>
      </c>
      <c r="E380" s="121">
        <v>2771832897</v>
      </c>
      <c r="F380" s="27">
        <f>C380-D380+E380</f>
        <v>5540693151</v>
      </c>
      <c r="G380" s="121">
        <v>0</v>
      </c>
      <c r="H380" s="132">
        <f t="shared" si="111"/>
        <v>5540693151</v>
      </c>
    </row>
    <row r="381" spans="1:8" ht="12">
      <c r="A381" s="78">
        <v>470507</v>
      </c>
      <c r="B381" s="154" t="s">
        <v>266</v>
      </c>
      <c r="C381" s="56">
        <v>0</v>
      </c>
      <c r="D381" s="121">
        <v>0</v>
      </c>
      <c r="E381" s="121">
        <v>0</v>
      </c>
      <c r="F381" s="27">
        <f>+C381+D381-E381</f>
        <v>0</v>
      </c>
      <c r="G381" s="121">
        <v>0</v>
      </c>
      <c r="H381" s="132">
        <f t="shared" si="111"/>
        <v>0</v>
      </c>
    </row>
    <row r="382" spans="1:8" ht="24">
      <c r="A382" s="78">
        <v>472000</v>
      </c>
      <c r="B382" s="153" t="s">
        <v>267</v>
      </c>
      <c r="C382" s="54">
        <f aca="true" t="shared" si="112" ref="C382:H382">SUM(C383:C385)</f>
        <v>0</v>
      </c>
      <c r="D382" s="118">
        <f t="shared" si="112"/>
        <v>0</v>
      </c>
      <c r="E382" s="118">
        <f t="shared" si="112"/>
        <v>0</v>
      </c>
      <c r="F382" s="118">
        <f t="shared" si="112"/>
        <v>0</v>
      </c>
      <c r="G382" s="118">
        <f t="shared" si="112"/>
        <v>0</v>
      </c>
      <c r="H382" s="119">
        <f t="shared" si="112"/>
        <v>0</v>
      </c>
    </row>
    <row r="383" spans="1:8" ht="12">
      <c r="A383" s="78">
        <v>472002</v>
      </c>
      <c r="B383" s="154" t="s">
        <v>249</v>
      </c>
      <c r="C383" s="56">
        <v>0</v>
      </c>
      <c r="D383" s="121">
        <v>0</v>
      </c>
      <c r="E383" s="121">
        <v>0</v>
      </c>
      <c r="F383" s="27">
        <f>+C383+D383-E383</f>
        <v>0</v>
      </c>
      <c r="G383" s="121">
        <v>0</v>
      </c>
      <c r="H383" s="132">
        <f t="shared" si="111"/>
        <v>0</v>
      </c>
    </row>
    <row r="384" spans="1:8" ht="12">
      <c r="A384" s="78">
        <v>472003</v>
      </c>
      <c r="B384" s="154" t="s">
        <v>268</v>
      </c>
      <c r="C384" s="56">
        <v>0</v>
      </c>
      <c r="D384" s="121">
        <v>0</v>
      </c>
      <c r="E384" s="121">
        <v>0</v>
      </c>
      <c r="F384" s="27">
        <f>+C384+D384-E384</f>
        <v>0</v>
      </c>
      <c r="G384" s="121">
        <v>0</v>
      </c>
      <c r="H384" s="132">
        <f t="shared" si="111"/>
        <v>0</v>
      </c>
    </row>
    <row r="385" spans="1:8" ht="12">
      <c r="A385" s="78">
        <v>472005</v>
      </c>
      <c r="B385" s="154" t="s">
        <v>269</v>
      </c>
      <c r="C385" s="56">
        <v>0</v>
      </c>
      <c r="D385" s="121">
        <v>0</v>
      </c>
      <c r="E385" s="121">
        <v>0</v>
      </c>
      <c r="F385" s="27">
        <f>+C385+D385-E385</f>
        <v>0</v>
      </c>
      <c r="G385" s="121">
        <v>0</v>
      </c>
      <c r="H385" s="132">
        <f t="shared" si="111"/>
        <v>0</v>
      </c>
    </row>
    <row r="386" spans="1:8" ht="24">
      <c r="A386" s="78">
        <v>472200</v>
      </c>
      <c r="B386" s="153" t="s">
        <v>270</v>
      </c>
      <c r="C386" s="54">
        <f aca="true" t="shared" si="113" ref="C386:H386">SUM(C387:C390)</f>
        <v>0</v>
      </c>
      <c r="D386" s="118">
        <f t="shared" si="113"/>
        <v>75314612</v>
      </c>
      <c r="E386" s="118">
        <f t="shared" si="113"/>
        <v>82398093</v>
      </c>
      <c r="F386" s="118">
        <f t="shared" si="113"/>
        <v>7083481</v>
      </c>
      <c r="G386" s="118">
        <f t="shared" si="113"/>
        <v>0</v>
      </c>
      <c r="H386" s="119">
        <f t="shared" si="113"/>
        <v>7083481</v>
      </c>
    </row>
    <row r="387" spans="1:8" ht="12">
      <c r="A387" s="78">
        <v>472203</v>
      </c>
      <c r="B387" s="154" t="s">
        <v>271</v>
      </c>
      <c r="C387" s="56">
        <v>0</v>
      </c>
      <c r="D387" s="121">
        <v>0</v>
      </c>
      <c r="E387" s="121">
        <v>1990733</v>
      </c>
      <c r="F387" s="27">
        <f>C387-D387+E387</f>
        <v>1990733</v>
      </c>
      <c r="G387" s="121">
        <v>0</v>
      </c>
      <c r="H387" s="132">
        <f t="shared" si="111"/>
        <v>1990733</v>
      </c>
    </row>
    <row r="388" spans="1:8" ht="24">
      <c r="A388" s="78">
        <v>472205</v>
      </c>
      <c r="B388" s="154" t="s">
        <v>272</v>
      </c>
      <c r="C388" s="56">
        <v>0</v>
      </c>
      <c r="D388" s="121">
        <v>0</v>
      </c>
      <c r="E388" s="121">
        <v>5092748</v>
      </c>
      <c r="F388" s="27">
        <f>C388-D388+E388</f>
        <v>5092748</v>
      </c>
      <c r="G388" s="121">
        <v>0</v>
      </c>
      <c r="H388" s="132">
        <f t="shared" si="111"/>
        <v>5092748</v>
      </c>
    </row>
    <row r="389" spans="1:8" ht="12">
      <c r="A389" s="78">
        <v>472206</v>
      </c>
      <c r="B389" s="154" t="s">
        <v>273</v>
      </c>
      <c r="C389" s="56">
        <v>0</v>
      </c>
      <c r="D389" s="121">
        <f>657772+466156</f>
        <v>1123928</v>
      </c>
      <c r="E389" s="121">
        <v>1123928</v>
      </c>
      <c r="F389" s="27">
        <f>C389-D389+E389</f>
        <v>0</v>
      </c>
      <c r="G389" s="133">
        <v>0</v>
      </c>
      <c r="H389" s="132">
        <f t="shared" si="111"/>
        <v>0</v>
      </c>
    </row>
    <row r="390" spans="1:8" ht="24">
      <c r="A390" s="78">
        <v>472290</v>
      </c>
      <c r="B390" s="154" t="s">
        <v>274</v>
      </c>
      <c r="C390" s="56">
        <v>0</v>
      </c>
      <c r="D390" s="121">
        <f>38942185+1583356+33665143</f>
        <v>74190684</v>
      </c>
      <c r="E390" s="121">
        <f>33665143+38942185+1583356</f>
        <v>74190684</v>
      </c>
      <c r="F390" s="27">
        <f>C390-D390+E390</f>
        <v>0</v>
      </c>
      <c r="G390" s="133">
        <v>0</v>
      </c>
      <c r="H390" s="132">
        <f t="shared" si="111"/>
        <v>0</v>
      </c>
    </row>
    <row r="391" spans="1:8" ht="24">
      <c r="A391" s="78">
        <v>472500</v>
      </c>
      <c r="B391" s="153" t="s">
        <v>275</v>
      </c>
      <c r="C391" s="54">
        <f aca="true" t="shared" si="114" ref="C391:H391">SUM(C392)</f>
        <v>0</v>
      </c>
      <c r="D391" s="118">
        <f t="shared" si="114"/>
        <v>0</v>
      </c>
      <c r="E391" s="118">
        <f t="shared" si="114"/>
        <v>0</v>
      </c>
      <c r="F391" s="118">
        <f t="shared" si="114"/>
        <v>0</v>
      </c>
      <c r="G391" s="118">
        <f t="shared" si="114"/>
        <v>0</v>
      </c>
      <c r="H391" s="119">
        <f t="shared" si="114"/>
        <v>0</v>
      </c>
    </row>
    <row r="392" spans="1:8" ht="12">
      <c r="A392" s="78">
        <v>472501</v>
      </c>
      <c r="B392" s="154" t="s">
        <v>110</v>
      </c>
      <c r="C392" s="56">
        <v>0</v>
      </c>
      <c r="D392" s="121">
        <v>0</v>
      </c>
      <c r="E392" s="121">
        <v>0</v>
      </c>
      <c r="F392" s="27">
        <f>+C392+D392-E392</f>
        <v>0</v>
      </c>
      <c r="G392" s="121">
        <v>0</v>
      </c>
      <c r="H392" s="132">
        <f t="shared" si="111"/>
        <v>0</v>
      </c>
    </row>
    <row r="393" spans="1:8" ht="12">
      <c r="A393" s="78">
        <v>480000</v>
      </c>
      <c r="B393" s="153" t="s">
        <v>276</v>
      </c>
      <c r="C393" s="54">
        <f aca="true" t="shared" si="115" ref="C393:H393">C394+C401+C403+C414</f>
        <v>2949721</v>
      </c>
      <c r="D393" s="54">
        <f t="shared" si="115"/>
        <v>573270</v>
      </c>
      <c r="E393" s="54">
        <f t="shared" si="115"/>
        <v>126911517</v>
      </c>
      <c r="F393" s="54">
        <f t="shared" si="115"/>
        <v>129287968</v>
      </c>
      <c r="G393" s="54">
        <f t="shared" si="115"/>
        <v>0</v>
      </c>
      <c r="H393" s="55">
        <f t="shared" si="115"/>
        <v>129287968</v>
      </c>
    </row>
    <row r="394" spans="1:8" ht="12">
      <c r="A394" s="78">
        <v>480500</v>
      </c>
      <c r="B394" s="153" t="s">
        <v>277</v>
      </c>
      <c r="C394" s="54">
        <f aca="true" t="shared" si="116" ref="C394:H394">SUM(C395:C400)</f>
        <v>2723990</v>
      </c>
      <c r="D394" s="118">
        <f t="shared" si="116"/>
        <v>0</v>
      </c>
      <c r="E394" s="118">
        <f t="shared" si="116"/>
        <v>2850232</v>
      </c>
      <c r="F394" s="118">
        <f t="shared" si="116"/>
        <v>5574222</v>
      </c>
      <c r="G394" s="118">
        <f t="shared" si="116"/>
        <v>0</v>
      </c>
      <c r="H394" s="119">
        <f t="shared" si="116"/>
        <v>5574222</v>
      </c>
    </row>
    <row r="395" spans="1:8" ht="12">
      <c r="A395" s="78">
        <v>480504</v>
      </c>
      <c r="B395" s="154" t="s">
        <v>278</v>
      </c>
      <c r="C395" s="56">
        <v>1992</v>
      </c>
      <c r="D395" s="121">
        <v>0</v>
      </c>
      <c r="E395" s="121">
        <v>404</v>
      </c>
      <c r="F395" s="27">
        <f>C395-D395+E395</f>
        <v>2396</v>
      </c>
      <c r="G395" s="121">
        <v>0</v>
      </c>
      <c r="H395" s="132">
        <f aca="true" t="shared" si="117" ref="H395:H421">+F395</f>
        <v>2396</v>
      </c>
    </row>
    <row r="396" spans="1:8" ht="12">
      <c r="A396" s="78">
        <v>480512</v>
      </c>
      <c r="B396" s="154" t="s">
        <v>279</v>
      </c>
      <c r="C396" s="56">
        <v>0</v>
      </c>
      <c r="D396" s="121">
        <v>0</v>
      </c>
      <c r="E396" s="121">
        <v>0</v>
      </c>
      <c r="F396" s="27">
        <f>+C396+D396-E396</f>
        <v>0</v>
      </c>
      <c r="G396" s="121">
        <v>0</v>
      </c>
      <c r="H396" s="132">
        <f t="shared" si="117"/>
        <v>0</v>
      </c>
    </row>
    <row r="397" spans="1:8" ht="12">
      <c r="A397" s="78">
        <v>480522</v>
      </c>
      <c r="B397" s="154" t="s">
        <v>280</v>
      </c>
      <c r="C397" s="56">
        <v>96287</v>
      </c>
      <c r="D397" s="121">
        <v>0</v>
      </c>
      <c r="E397" s="121">
        <f>891939+9258+79787</f>
        <v>980984</v>
      </c>
      <c r="F397" s="27">
        <f>C397-D397+E397</f>
        <v>1077271</v>
      </c>
      <c r="G397" s="121">
        <v>0</v>
      </c>
      <c r="H397" s="132">
        <f t="shared" si="117"/>
        <v>1077271</v>
      </c>
    </row>
    <row r="398" spans="1:8" ht="12">
      <c r="A398" s="78">
        <v>480544</v>
      </c>
      <c r="B398" s="154" t="s">
        <v>281</v>
      </c>
      <c r="C398" s="56">
        <v>0</v>
      </c>
      <c r="D398" s="121">
        <v>0</v>
      </c>
      <c r="E398" s="121">
        <v>0</v>
      </c>
      <c r="F398" s="27">
        <f>+C398+D398-E398</f>
        <v>0</v>
      </c>
      <c r="G398" s="121">
        <v>0</v>
      </c>
      <c r="H398" s="132">
        <f t="shared" si="117"/>
        <v>0</v>
      </c>
    </row>
    <row r="399" spans="1:8" ht="24">
      <c r="A399" s="78">
        <v>480545</v>
      </c>
      <c r="B399" s="154" t="s">
        <v>282</v>
      </c>
      <c r="C399" s="56">
        <v>2625711</v>
      </c>
      <c r="D399" s="121">
        <v>0</v>
      </c>
      <c r="E399" s="121">
        <v>1868844</v>
      </c>
      <c r="F399" s="27">
        <f>C399-D399+E399</f>
        <v>4494555</v>
      </c>
      <c r="G399" s="121">
        <v>0</v>
      </c>
      <c r="H399" s="132">
        <f t="shared" si="117"/>
        <v>4494555</v>
      </c>
    </row>
    <row r="400" spans="1:8" ht="12">
      <c r="A400" s="78">
        <v>480590</v>
      </c>
      <c r="B400" s="154" t="s">
        <v>283</v>
      </c>
      <c r="C400" s="56">
        <v>0</v>
      </c>
      <c r="D400" s="121">
        <v>0</v>
      </c>
      <c r="E400" s="121">
        <v>0</v>
      </c>
      <c r="F400" s="27">
        <f>+C400+D400-E400</f>
        <v>0</v>
      </c>
      <c r="G400" s="121">
        <v>0</v>
      </c>
      <c r="H400" s="132">
        <f t="shared" si="117"/>
        <v>0</v>
      </c>
    </row>
    <row r="401" spans="1:8" ht="24">
      <c r="A401" s="78">
        <v>480700</v>
      </c>
      <c r="B401" s="153" t="s">
        <v>284</v>
      </c>
      <c r="C401" s="54">
        <f aca="true" t="shared" si="118" ref="C401:H401">SUM(C402)</f>
        <v>0</v>
      </c>
      <c r="D401" s="118">
        <f t="shared" si="118"/>
        <v>0</v>
      </c>
      <c r="E401" s="118">
        <f t="shared" si="118"/>
        <v>0</v>
      </c>
      <c r="F401" s="118">
        <f t="shared" si="118"/>
        <v>0</v>
      </c>
      <c r="G401" s="118">
        <f t="shared" si="118"/>
        <v>0</v>
      </c>
      <c r="H401" s="119">
        <f t="shared" si="118"/>
        <v>0</v>
      </c>
    </row>
    <row r="402" spans="1:8" ht="24">
      <c r="A402" s="78">
        <v>480725</v>
      </c>
      <c r="B402" s="154" t="s">
        <v>285</v>
      </c>
      <c r="C402" s="56">
        <v>0</v>
      </c>
      <c r="D402" s="121">
        <v>0</v>
      </c>
      <c r="E402" s="121">
        <v>0</v>
      </c>
      <c r="F402" s="27">
        <f>+C402+D402-E402</f>
        <v>0</v>
      </c>
      <c r="G402" s="121">
        <v>0</v>
      </c>
      <c r="H402" s="132">
        <f t="shared" si="117"/>
        <v>0</v>
      </c>
    </row>
    <row r="403" spans="1:8" ht="12">
      <c r="A403" s="78">
        <v>481000</v>
      </c>
      <c r="B403" s="153" t="s">
        <v>286</v>
      </c>
      <c r="C403" s="54">
        <f aca="true" t="shared" si="119" ref="C403:H403">SUM(C404:C413)</f>
        <v>182146</v>
      </c>
      <c r="D403" s="118">
        <f t="shared" si="119"/>
        <v>15081</v>
      </c>
      <c r="E403" s="118">
        <f t="shared" si="119"/>
        <v>379053</v>
      </c>
      <c r="F403" s="118">
        <f t="shared" si="119"/>
        <v>546118</v>
      </c>
      <c r="G403" s="118">
        <f t="shared" si="119"/>
        <v>0</v>
      </c>
      <c r="H403" s="119">
        <f t="shared" si="119"/>
        <v>546118</v>
      </c>
    </row>
    <row r="404" spans="1:8" ht="12">
      <c r="A404" s="78">
        <v>481001</v>
      </c>
      <c r="B404" s="154" t="s">
        <v>287</v>
      </c>
      <c r="C404" s="56">
        <v>0</v>
      </c>
      <c r="D404" s="121">
        <v>0</v>
      </c>
      <c r="E404" s="121">
        <v>0</v>
      </c>
      <c r="F404" s="27">
        <f>+C404+D404-E404</f>
        <v>0</v>
      </c>
      <c r="G404" s="121">
        <v>0</v>
      </c>
      <c r="H404" s="132">
        <f t="shared" si="117"/>
        <v>0</v>
      </c>
    </row>
    <row r="405" spans="1:8" ht="12">
      <c r="A405" s="78">
        <v>481006</v>
      </c>
      <c r="B405" s="154" t="s">
        <v>0</v>
      </c>
      <c r="C405" s="56">
        <v>35153</v>
      </c>
      <c r="D405" s="121">
        <v>8759</v>
      </c>
      <c r="E405" s="121">
        <v>56032</v>
      </c>
      <c r="F405" s="27">
        <f>C405-D405+E405</f>
        <v>82426</v>
      </c>
      <c r="G405" s="121">
        <v>0</v>
      </c>
      <c r="H405" s="132">
        <f t="shared" si="117"/>
        <v>82426</v>
      </c>
    </row>
    <row r="406" spans="1:8" ht="12">
      <c r="A406" s="78">
        <v>481007</v>
      </c>
      <c r="B406" s="154" t="s">
        <v>288</v>
      </c>
      <c r="C406" s="56">
        <v>1</v>
      </c>
      <c r="D406" s="121">
        <v>0</v>
      </c>
      <c r="E406" s="121">
        <v>40</v>
      </c>
      <c r="F406" s="27">
        <f>C406-D406+E406</f>
        <v>41</v>
      </c>
      <c r="G406" s="121">
        <v>0</v>
      </c>
      <c r="H406" s="132">
        <f t="shared" si="117"/>
        <v>41</v>
      </c>
    </row>
    <row r="407" spans="1:8" ht="12">
      <c r="A407" s="78">
        <v>481008</v>
      </c>
      <c r="B407" s="154" t="s">
        <v>289</v>
      </c>
      <c r="C407" s="56">
        <v>28781</v>
      </c>
      <c r="D407" s="121">
        <v>0</v>
      </c>
      <c r="E407" s="121">
        <f>9857+18073</f>
        <v>27930</v>
      </c>
      <c r="F407" s="27">
        <f aca="true" t="shared" si="120" ref="F407:F413">C407-D407+E407</f>
        <v>56711</v>
      </c>
      <c r="G407" s="121">
        <v>0</v>
      </c>
      <c r="H407" s="132">
        <f t="shared" si="117"/>
        <v>56711</v>
      </c>
    </row>
    <row r="408" spans="1:8" ht="12">
      <c r="A408" s="78">
        <v>481017</v>
      </c>
      <c r="B408" s="154" t="s">
        <v>290</v>
      </c>
      <c r="C408" s="56">
        <v>0</v>
      </c>
      <c r="D408" s="121">
        <v>0</v>
      </c>
      <c r="E408" s="121">
        <v>0</v>
      </c>
      <c r="F408" s="27">
        <f t="shared" si="120"/>
        <v>0</v>
      </c>
      <c r="G408" s="121">
        <v>0</v>
      </c>
      <c r="H408" s="132">
        <f t="shared" si="117"/>
        <v>0</v>
      </c>
    </row>
    <row r="409" spans="1:8" ht="12">
      <c r="A409" s="78">
        <v>481018</v>
      </c>
      <c r="B409" s="154" t="s">
        <v>70</v>
      </c>
      <c r="C409" s="56">
        <v>3767</v>
      </c>
      <c r="D409" s="121">
        <v>6322</v>
      </c>
      <c r="E409" s="121">
        <v>6386</v>
      </c>
      <c r="F409" s="27">
        <f t="shared" si="120"/>
        <v>3831</v>
      </c>
      <c r="G409" s="121">
        <v>0</v>
      </c>
      <c r="H409" s="132">
        <f t="shared" si="117"/>
        <v>3831</v>
      </c>
    </row>
    <row r="410" spans="1:8" ht="12">
      <c r="A410" s="78">
        <v>481022</v>
      </c>
      <c r="B410" s="154" t="s">
        <v>291</v>
      </c>
      <c r="C410" s="56">
        <v>0</v>
      </c>
      <c r="D410" s="121">
        <v>0</v>
      </c>
      <c r="E410" s="121">
        <v>18056</v>
      </c>
      <c r="F410" s="27">
        <f t="shared" si="120"/>
        <v>18056</v>
      </c>
      <c r="G410" s="121">
        <v>0</v>
      </c>
      <c r="H410" s="132">
        <f t="shared" si="117"/>
        <v>18056</v>
      </c>
    </row>
    <row r="411" spans="1:8" ht="12">
      <c r="A411" s="78">
        <v>481023</v>
      </c>
      <c r="B411" s="154" t="s">
        <v>292</v>
      </c>
      <c r="C411" s="56">
        <v>26170</v>
      </c>
      <c r="D411" s="121">
        <v>0</v>
      </c>
      <c r="E411" s="121">
        <v>267655</v>
      </c>
      <c r="F411" s="27">
        <f t="shared" si="120"/>
        <v>293825</v>
      </c>
      <c r="G411" s="121">
        <v>0</v>
      </c>
      <c r="H411" s="132">
        <f t="shared" si="117"/>
        <v>293825</v>
      </c>
    </row>
    <row r="412" spans="1:8" ht="24">
      <c r="A412" s="78">
        <v>481037</v>
      </c>
      <c r="B412" s="154" t="s">
        <v>293</v>
      </c>
      <c r="C412" s="56">
        <v>88274</v>
      </c>
      <c r="D412" s="121">
        <v>0</v>
      </c>
      <c r="E412" s="121">
        <v>2954</v>
      </c>
      <c r="F412" s="27">
        <f t="shared" si="120"/>
        <v>91228</v>
      </c>
      <c r="G412" s="121">
        <v>0</v>
      </c>
      <c r="H412" s="132">
        <f t="shared" si="117"/>
        <v>91228</v>
      </c>
    </row>
    <row r="413" spans="1:8" ht="12">
      <c r="A413" s="78">
        <v>481090</v>
      </c>
      <c r="B413" s="154" t="s">
        <v>294</v>
      </c>
      <c r="C413" s="56">
        <v>0</v>
      </c>
      <c r="D413" s="121">
        <v>0</v>
      </c>
      <c r="E413" s="121">
        <v>0</v>
      </c>
      <c r="F413" s="27">
        <f t="shared" si="120"/>
        <v>0</v>
      </c>
      <c r="G413" s="121">
        <v>0</v>
      </c>
      <c r="H413" s="132">
        <f t="shared" si="117"/>
        <v>0</v>
      </c>
    </row>
    <row r="414" spans="1:8" ht="12">
      <c r="A414" s="78">
        <v>481500</v>
      </c>
      <c r="B414" s="153" t="s">
        <v>295</v>
      </c>
      <c r="C414" s="54">
        <f aca="true" t="shared" si="121" ref="C414:H414">SUM(C415:C421)</f>
        <v>43585</v>
      </c>
      <c r="D414" s="118">
        <f t="shared" si="121"/>
        <v>558189</v>
      </c>
      <c r="E414" s="118">
        <f t="shared" si="121"/>
        <v>123682232</v>
      </c>
      <c r="F414" s="118">
        <f t="shared" si="121"/>
        <v>123167628</v>
      </c>
      <c r="G414" s="118">
        <f t="shared" si="121"/>
        <v>0</v>
      </c>
      <c r="H414" s="119">
        <f t="shared" si="121"/>
        <v>123167628</v>
      </c>
    </row>
    <row r="415" spans="1:8" ht="12">
      <c r="A415" s="78">
        <v>481507</v>
      </c>
      <c r="B415" s="154" t="s">
        <v>296</v>
      </c>
      <c r="C415" s="56">
        <v>0</v>
      </c>
      <c r="D415" s="121">
        <v>0</v>
      </c>
      <c r="E415" s="121">
        <v>0</v>
      </c>
      <c r="F415" s="27">
        <f aca="true" t="shared" si="122" ref="F415:F478">+C415+D415-E415</f>
        <v>0</v>
      </c>
      <c r="G415" s="121">
        <v>0</v>
      </c>
      <c r="H415" s="132">
        <f t="shared" si="117"/>
        <v>0</v>
      </c>
    </row>
    <row r="416" spans="1:8" ht="12">
      <c r="A416" s="78">
        <v>481509</v>
      </c>
      <c r="B416" s="154" t="s">
        <v>7</v>
      </c>
      <c r="C416" s="56">
        <v>0</v>
      </c>
      <c r="D416" s="121">
        <v>0</v>
      </c>
      <c r="E416" s="121">
        <v>0</v>
      </c>
      <c r="F416" s="27">
        <f t="shared" si="122"/>
        <v>0</v>
      </c>
      <c r="G416" s="121">
        <v>0</v>
      </c>
      <c r="H416" s="132">
        <f t="shared" si="117"/>
        <v>0</v>
      </c>
    </row>
    <row r="417" spans="1:8" ht="12">
      <c r="A417" s="78">
        <v>481510</v>
      </c>
      <c r="B417" s="154" t="s">
        <v>250</v>
      </c>
      <c r="C417" s="56">
        <v>0</v>
      </c>
      <c r="D417" s="121">
        <v>0</v>
      </c>
      <c r="E417" s="121">
        <v>0</v>
      </c>
      <c r="F417" s="27">
        <f t="shared" si="122"/>
        <v>0</v>
      </c>
      <c r="G417" s="121">
        <v>0</v>
      </c>
      <c r="H417" s="132">
        <f t="shared" si="117"/>
        <v>0</v>
      </c>
    </row>
    <row r="418" spans="1:8" ht="12">
      <c r="A418" s="78">
        <v>481517</v>
      </c>
      <c r="B418" s="154" t="s">
        <v>2811</v>
      </c>
      <c r="C418" s="56">
        <v>42842</v>
      </c>
      <c r="D418" s="121">
        <v>13</v>
      </c>
      <c r="E418" s="121">
        <v>0</v>
      </c>
      <c r="F418" s="27">
        <f>C418-D418+E418</f>
        <v>42829</v>
      </c>
      <c r="G418" s="121">
        <v>0</v>
      </c>
      <c r="H418" s="132">
        <f t="shared" si="117"/>
        <v>42829</v>
      </c>
    </row>
    <row r="419" spans="1:8" ht="12">
      <c r="A419" s="78">
        <v>481537</v>
      </c>
      <c r="B419" s="154" t="s">
        <v>297</v>
      </c>
      <c r="C419" s="56">
        <v>0</v>
      </c>
      <c r="D419" s="121">
        <v>0</v>
      </c>
      <c r="E419" s="121">
        <v>0</v>
      </c>
      <c r="F419" s="27">
        <f t="shared" si="122"/>
        <v>0</v>
      </c>
      <c r="G419" s="121">
        <v>0</v>
      </c>
      <c r="H419" s="132">
        <f t="shared" si="117"/>
        <v>0</v>
      </c>
    </row>
    <row r="420" spans="1:8" ht="12">
      <c r="A420" s="78">
        <v>481538</v>
      </c>
      <c r="B420" s="154" t="s">
        <v>298</v>
      </c>
      <c r="C420" s="56">
        <v>743</v>
      </c>
      <c r="D420" s="121">
        <f>558176</f>
        <v>558176</v>
      </c>
      <c r="E420" s="121">
        <f>123682232</f>
        <v>123682232</v>
      </c>
      <c r="F420" s="27">
        <f>C420-D420+E420</f>
        <v>123124799</v>
      </c>
      <c r="G420" s="121">
        <v>0</v>
      </c>
      <c r="H420" s="132">
        <f t="shared" si="117"/>
        <v>123124799</v>
      </c>
    </row>
    <row r="421" spans="1:8" ht="24">
      <c r="A421" s="78">
        <v>481539</v>
      </c>
      <c r="B421" s="154" t="s">
        <v>299</v>
      </c>
      <c r="C421" s="56">
        <v>0</v>
      </c>
      <c r="D421" s="121">
        <v>0</v>
      </c>
      <c r="E421" s="121">
        <v>0</v>
      </c>
      <c r="F421" s="27">
        <f t="shared" si="122"/>
        <v>0</v>
      </c>
      <c r="G421" s="121">
        <v>0</v>
      </c>
      <c r="H421" s="132">
        <f t="shared" si="117"/>
        <v>0</v>
      </c>
    </row>
    <row r="422" spans="1:8" ht="12">
      <c r="A422" s="78">
        <v>500000</v>
      </c>
      <c r="B422" s="153" t="s">
        <v>300</v>
      </c>
      <c r="C422" s="54">
        <f aca="true" t="shared" si="123" ref="C422:H422">C423+C514+C538+C587+C592+C601+C615+C645</f>
        <v>4522795801</v>
      </c>
      <c r="D422" s="118">
        <f t="shared" si="123"/>
        <v>3525147517</v>
      </c>
      <c r="E422" s="118">
        <f t="shared" si="123"/>
        <v>2188962142</v>
      </c>
      <c r="F422" s="118">
        <f t="shared" si="123"/>
        <v>5858981176</v>
      </c>
      <c r="G422" s="118">
        <f t="shared" si="123"/>
        <v>0</v>
      </c>
      <c r="H422" s="119">
        <f t="shared" si="123"/>
        <v>5858981176</v>
      </c>
    </row>
    <row r="423" spans="1:8" ht="12">
      <c r="A423" s="78">
        <v>510000</v>
      </c>
      <c r="B423" s="153" t="s">
        <v>301</v>
      </c>
      <c r="C423" s="54">
        <f aca="true" t="shared" si="124" ref="C423:H423">C424+C452+C457+C465+C470+C503</f>
        <v>39171386</v>
      </c>
      <c r="D423" s="54">
        <f t="shared" si="124"/>
        <v>49643622</v>
      </c>
      <c r="E423" s="54">
        <f t="shared" si="124"/>
        <v>34336492</v>
      </c>
      <c r="F423" s="54">
        <f t="shared" si="124"/>
        <v>54478516</v>
      </c>
      <c r="G423" s="54">
        <f t="shared" si="124"/>
        <v>0</v>
      </c>
      <c r="H423" s="55">
        <f t="shared" si="124"/>
        <v>54478516</v>
      </c>
    </row>
    <row r="424" spans="1:8" ht="12">
      <c r="A424" s="78">
        <v>510100</v>
      </c>
      <c r="B424" s="153" t="s">
        <v>302</v>
      </c>
      <c r="C424" s="54">
        <f aca="true" t="shared" si="125" ref="C424:H424">SUM(C425:C451)</f>
        <v>3488984</v>
      </c>
      <c r="D424" s="118">
        <f t="shared" si="125"/>
        <v>44888437</v>
      </c>
      <c r="E424" s="118">
        <f t="shared" si="125"/>
        <v>33844431</v>
      </c>
      <c r="F424" s="118">
        <f t="shared" si="125"/>
        <v>14532990</v>
      </c>
      <c r="G424" s="118">
        <f t="shared" si="125"/>
        <v>0</v>
      </c>
      <c r="H424" s="119">
        <f t="shared" si="125"/>
        <v>14532990</v>
      </c>
    </row>
    <row r="425" spans="1:8" ht="12">
      <c r="A425" s="78">
        <v>510101</v>
      </c>
      <c r="B425" s="154" t="s">
        <v>303</v>
      </c>
      <c r="C425" s="56">
        <v>1954530</v>
      </c>
      <c r="D425" s="121">
        <f>1929831+92991+41189+38942185+1583356</f>
        <v>42589552</v>
      </c>
      <c r="E425" s="121">
        <f>1343+29508+83885+64552+33665143</f>
        <v>33844431</v>
      </c>
      <c r="F425" s="27">
        <f t="shared" si="122"/>
        <v>10699651</v>
      </c>
      <c r="G425" s="121">
        <v>0</v>
      </c>
      <c r="H425" s="132">
        <f aca="true" t="shared" si="126" ref="H425:H488">+F425</f>
        <v>10699651</v>
      </c>
    </row>
    <row r="426" spans="1:8" ht="12">
      <c r="A426" s="78">
        <v>510102</v>
      </c>
      <c r="B426" s="154" t="s">
        <v>304</v>
      </c>
      <c r="C426" s="56">
        <v>0</v>
      </c>
      <c r="D426" s="121">
        <v>0</v>
      </c>
      <c r="E426" s="121">
        <v>0</v>
      </c>
      <c r="F426" s="27">
        <f t="shared" si="122"/>
        <v>0</v>
      </c>
      <c r="G426" s="121">
        <v>0</v>
      </c>
      <c r="H426" s="132">
        <f t="shared" si="126"/>
        <v>0</v>
      </c>
    </row>
    <row r="427" spans="1:8" ht="12">
      <c r="A427" s="78">
        <v>510103</v>
      </c>
      <c r="B427" s="154" t="s">
        <v>305</v>
      </c>
      <c r="C427" s="56">
        <v>14950</v>
      </c>
      <c r="D427" s="121">
        <f>29666+689</f>
        <v>30355</v>
      </c>
      <c r="E427" s="121">
        <v>0</v>
      </c>
      <c r="F427" s="27">
        <f t="shared" si="122"/>
        <v>45305</v>
      </c>
      <c r="G427" s="121">
        <v>0</v>
      </c>
      <c r="H427" s="132">
        <f t="shared" si="126"/>
        <v>45305</v>
      </c>
    </row>
    <row r="428" spans="1:8" ht="12">
      <c r="A428" s="78">
        <v>510105</v>
      </c>
      <c r="B428" s="154" t="s">
        <v>306</v>
      </c>
      <c r="C428" s="56">
        <v>36759</v>
      </c>
      <c r="D428" s="121">
        <f>35452+3282</f>
        <v>38734</v>
      </c>
      <c r="E428" s="121">
        <v>0</v>
      </c>
      <c r="F428" s="27">
        <f t="shared" si="122"/>
        <v>75493</v>
      </c>
      <c r="G428" s="121">
        <v>0</v>
      </c>
      <c r="H428" s="132">
        <f t="shared" si="126"/>
        <v>75493</v>
      </c>
    </row>
    <row r="429" spans="1:8" ht="12">
      <c r="A429" s="78">
        <v>510106</v>
      </c>
      <c r="B429" s="154" t="s">
        <v>307</v>
      </c>
      <c r="C429" s="56">
        <v>276190</v>
      </c>
      <c r="D429" s="121">
        <f>143165+226829</f>
        <v>369994</v>
      </c>
      <c r="E429" s="121">
        <v>0</v>
      </c>
      <c r="F429" s="27">
        <f t="shared" si="122"/>
        <v>646184</v>
      </c>
      <c r="G429" s="121">
        <v>0</v>
      </c>
      <c r="H429" s="132">
        <f t="shared" si="126"/>
        <v>646184</v>
      </c>
    </row>
    <row r="430" spans="1:8" ht="12">
      <c r="A430" s="78">
        <v>510107</v>
      </c>
      <c r="B430" s="154" t="s">
        <v>308</v>
      </c>
      <c r="C430" s="56">
        <v>0</v>
      </c>
      <c r="D430" s="121">
        <v>0</v>
      </c>
      <c r="E430" s="121">
        <v>0</v>
      </c>
      <c r="F430" s="27">
        <f t="shared" si="122"/>
        <v>0</v>
      </c>
      <c r="G430" s="121">
        <v>0</v>
      </c>
      <c r="H430" s="132">
        <f t="shared" si="126"/>
        <v>0</v>
      </c>
    </row>
    <row r="431" spans="1:8" ht="12">
      <c r="A431" s="78">
        <v>510109</v>
      </c>
      <c r="B431" s="154" t="s">
        <v>168</v>
      </c>
      <c r="C431" s="56">
        <v>51281</v>
      </c>
      <c r="D431" s="121">
        <f>483251+18921</f>
        <v>502172</v>
      </c>
      <c r="E431" s="121">
        <v>0</v>
      </c>
      <c r="F431" s="27">
        <f t="shared" si="122"/>
        <v>553453</v>
      </c>
      <c r="G431" s="121">
        <v>0</v>
      </c>
      <c r="H431" s="132">
        <f t="shared" si="126"/>
        <v>553453</v>
      </c>
    </row>
    <row r="432" spans="1:8" ht="12">
      <c r="A432" s="78">
        <v>510110</v>
      </c>
      <c r="B432" s="154" t="s">
        <v>309</v>
      </c>
      <c r="C432" s="56">
        <v>401299</v>
      </c>
      <c r="D432" s="121">
        <f>389898+10776</f>
        <v>400674</v>
      </c>
      <c r="E432" s="121">
        <v>0</v>
      </c>
      <c r="F432" s="27">
        <f t="shared" si="122"/>
        <v>801973</v>
      </c>
      <c r="G432" s="121">
        <v>0</v>
      </c>
      <c r="H432" s="132">
        <f t="shared" si="126"/>
        <v>801973</v>
      </c>
    </row>
    <row r="433" spans="1:8" ht="12">
      <c r="A433" s="78">
        <v>510111</v>
      </c>
      <c r="B433" s="154" t="s">
        <v>310</v>
      </c>
      <c r="C433" s="56">
        <v>6402</v>
      </c>
      <c r="D433" s="121">
        <v>7114</v>
      </c>
      <c r="E433" s="121">
        <v>0</v>
      </c>
      <c r="F433" s="27">
        <f t="shared" si="122"/>
        <v>13516</v>
      </c>
      <c r="G433" s="121">
        <v>0</v>
      </c>
      <c r="H433" s="132">
        <f t="shared" si="126"/>
        <v>13516</v>
      </c>
    </row>
    <row r="434" spans="1:8" ht="12">
      <c r="A434" s="78">
        <v>510112</v>
      </c>
      <c r="B434" s="154" t="s">
        <v>311</v>
      </c>
      <c r="C434" s="56">
        <v>0</v>
      </c>
      <c r="D434" s="121">
        <v>0</v>
      </c>
      <c r="E434" s="121">
        <v>0</v>
      </c>
      <c r="F434" s="27">
        <f t="shared" si="122"/>
        <v>0</v>
      </c>
      <c r="G434" s="121">
        <v>0</v>
      </c>
      <c r="H434" s="132">
        <f t="shared" si="126"/>
        <v>0</v>
      </c>
    </row>
    <row r="435" spans="1:8" ht="12">
      <c r="A435" s="78">
        <v>510113</v>
      </c>
      <c r="B435" s="154" t="s">
        <v>312</v>
      </c>
      <c r="C435" s="56">
        <v>92486</v>
      </c>
      <c r="D435" s="121">
        <f>88347+3214+1722</f>
        <v>93283</v>
      </c>
      <c r="E435" s="121">
        <v>0</v>
      </c>
      <c r="F435" s="27">
        <f t="shared" si="122"/>
        <v>185769</v>
      </c>
      <c r="G435" s="121">
        <v>0</v>
      </c>
      <c r="H435" s="132">
        <f t="shared" si="126"/>
        <v>185769</v>
      </c>
    </row>
    <row r="436" spans="1:8" ht="12">
      <c r="A436" s="78">
        <v>510114</v>
      </c>
      <c r="B436" s="154" t="s">
        <v>313</v>
      </c>
      <c r="C436" s="56">
        <v>170991</v>
      </c>
      <c r="D436" s="121">
        <f>169570+8020+4226</f>
        <v>181816</v>
      </c>
      <c r="E436" s="121">
        <v>0</v>
      </c>
      <c r="F436" s="27">
        <f t="shared" si="122"/>
        <v>352807</v>
      </c>
      <c r="G436" s="121">
        <v>0</v>
      </c>
      <c r="H436" s="132">
        <f t="shared" si="126"/>
        <v>352807</v>
      </c>
    </row>
    <row r="437" spans="1:8" ht="12">
      <c r="A437" s="78">
        <v>510116</v>
      </c>
      <c r="B437" s="154" t="s">
        <v>314</v>
      </c>
      <c r="C437" s="56">
        <v>1778</v>
      </c>
      <c r="D437" s="121">
        <v>2053</v>
      </c>
      <c r="E437" s="121">
        <v>0</v>
      </c>
      <c r="F437" s="27">
        <f t="shared" si="122"/>
        <v>3831</v>
      </c>
      <c r="G437" s="121">
        <v>0</v>
      </c>
      <c r="H437" s="132">
        <f t="shared" si="126"/>
        <v>3831</v>
      </c>
    </row>
    <row r="438" spans="1:8" ht="12">
      <c r="A438" s="78">
        <v>510117</v>
      </c>
      <c r="B438" s="154" t="s">
        <v>191</v>
      </c>
      <c r="C438" s="56">
        <v>13318</v>
      </c>
      <c r="D438" s="121">
        <f>819+1712</f>
        <v>2531</v>
      </c>
      <c r="E438" s="121">
        <v>0</v>
      </c>
      <c r="F438" s="27">
        <f t="shared" si="122"/>
        <v>15849</v>
      </c>
      <c r="G438" s="121">
        <v>0</v>
      </c>
      <c r="H438" s="132">
        <f t="shared" si="126"/>
        <v>15849</v>
      </c>
    </row>
    <row r="439" spans="1:8" ht="12">
      <c r="A439" s="78">
        <v>510118</v>
      </c>
      <c r="B439" s="154" t="s">
        <v>315</v>
      </c>
      <c r="C439" s="56">
        <v>894</v>
      </c>
      <c r="D439" s="121">
        <f>449+218</f>
        <v>667</v>
      </c>
      <c r="E439" s="121">
        <v>0</v>
      </c>
      <c r="F439" s="27">
        <f t="shared" si="122"/>
        <v>1561</v>
      </c>
      <c r="G439" s="121">
        <v>0</v>
      </c>
      <c r="H439" s="132">
        <f t="shared" si="126"/>
        <v>1561</v>
      </c>
    </row>
    <row r="440" spans="1:8" ht="12">
      <c r="A440" s="78">
        <v>510119</v>
      </c>
      <c r="B440" s="147" t="s">
        <v>195</v>
      </c>
      <c r="C440" s="56">
        <v>147080</v>
      </c>
      <c r="D440" s="121">
        <f>237670+1242</f>
        <v>238912</v>
      </c>
      <c r="E440" s="121">
        <v>0</v>
      </c>
      <c r="F440" s="27">
        <f t="shared" si="122"/>
        <v>385992</v>
      </c>
      <c r="G440" s="121">
        <v>0</v>
      </c>
      <c r="H440" s="132">
        <f t="shared" si="126"/>
        <v>385992</v>
      </c>
    </row>
    <row r="441" spans="1:8" ht="12">
      <c r="A441" s="78">
        <v>510121</v>
      </c>
      <c r="B441" s="154" t="s">
        <v>316</v>
      </c>
      <c r="C441" s="56">
        <v>0</v>
      </c>
      <c r="D441" s="121">
        <v>0</v>
      </c>
      <c r="E441" s="121">
        <v>0</v>
      </c>
      <c r="F441" s="27">
        <f t="shared" si="122"/>
        <v>0</v>
      </c>
      <c r="G441" s="121">
        <v>0</v>
      </c>
      <c r="H441" s="132">
        <f t="shared" si="126"/>
        <v>0</v>
      </c>
    </row>
    <row r="442" spans="1:8" ht="12">
      <c r="A442" s="78">
        <v>510123</v>
      </c>
      <c r="B442" s="154" t="s">
        <v>317</v>
      </c>
      <c r="C442" s="56">
        <v>3519</v>
      </c>
      <c r="D442" s="121">
        <f>1571+1107+391</f>
        <v>3069</v>
      </c>
      <c r="E442" s="121">
        <v>0</v>
      </c>
      <c r="F442" s="27">
        <f t="shared" si="122"/>
        <v>6588</v>
      </c>
      <c r="G442" s="121">
        <v>0</v>
      </c>
      <c r="H442" s="132">
        <f t="shared" si="126"/>
        <v>6588</v>
      </c>
    </row>
    <row r="443" spans="1:8" ht="12">
      <c r="A443" s="78">
        <v>510124</v>
      </c>
      <c r="B443" s="154" t="s">
        <v>190</v>
      </c>
      <c r="C443" s="56">
        <v>195819</v>
      </c>
      <c r="D443" s="121">
        <f>206658+11591+3687</f>
        <v>221936</v>
      </c>
      <c r="E443" s="121">
        <v>0</v>
      </c>
      <c r="F443" s="27">
        <f t="shared" si="122"/>
        <v>417755</v>
      </c>
      <c r="G443" s="121">
        <v>0</v>
      </c>
      <c r="H443" s="132">
        <f t="shared" si="126"/>
        <v>417755</v>
      </c>
    </row>
    <row r="444" spans="1:8" ht="12">
      <c r="A444" s="78">
        <v>510130</v>
      </c>
      <c r="B444" s="154" t="s">
        <v>318</v>
      </c>
      <c r="C444" s="56">
        <v>11755</v>
      </c>
      <c r="D444" s="121">
        <f>81924+1100+1372</f>
        <v>84396</v>
      </c>
      <c r="E444" s="121">
        <v>0</v>
      </c>
      <c r="F444" s="27">
        <f t="shared" si="122"/>
        <v>96151</v>
      </c>
      <c r="G444" s="121">
        <v>0</v>
      </c>
      <c r="H444" s="132">
        <f t="shared" si="126"/>
        <v>96151</v>
      </c>
    </row>
    <row r="445" spans="1:8" ht="12">
      <c r="A445" s="78">
        <v>510131</v>
      </c>
      <c r="B445" s="154" t="s">
        <v>319</v>
      </c>
      <c r="C445" s="56">
        <v>0</v>
      </c>
      <c r="D445" s="121">
        <v>2179</v>
      </c>
      <c r="E445" s="121">
        <v>0</v>
      </c>
      <c r="F445" s="27">
        <f t="shared" si="122"/>
        <v>2179</v>
      </c>
      <c r="G445" s="121">
        <v>0</v>
      </c>
      <c r="H445" s="132">
        <f t="shared" si="126"/>
        <v>2179</v>
      </c>
    </row>
    <row r="446" spans="1:8" ht="12">
      <c r="A446" s="78">
        <v>510133</v>
      </c>
      <c r="B446" s="154" t="s">
        <v>320</v>
      </c>
      <c r="C446" s="56">
        <v>0</v>
      </c>
      <c r="D446" s="121">
        <v>0</v>
      </c>
      <c r="E446" s="121">
        <v>0</v>
      </c>
      <c r="F446" s="27">
        <f t="shared" si="122"/>
        <v>0</v>
      </c>
      <c r="G446" s="121">
        <v>0</v>
      </c>
      <c r="H446" s="132">
        <f t="shared" si="126"/>
        <v>0</v>
      </c>
    </row>
    <row r="447" spans="1:8" ht="12">
      <c r="A447" s="78">
        <v>510150</v>
      </c>
      <c r="B447" s="154" t="s">
        <v>321</v>
      </c>
      <c r="C447" s="56">
        <v>3638</v>
      </c>
      <c r="D447" s="121">
        <v>2553</v>
      </c>
      <c r="E447" s="121">
        <v>0</v>
      </c>
      <c r="F447" s="27">
        <f t="shared" si="122"/>
        <v>6191</v>
      </c>
      <c r="G447" s="121">
        <v>0</v>
      </c>
      <c r="H447" s="132">
        <f t="shared" si="126"/>
        <v>6191</v>
      </c>
    </row>
    <row r="448" spans="1:8" ht="12">
      <c r="A448" s="78">
        <v>510152</v>
      </c>
      <c r="B448" s="154" t="s">
        <v>322</v>
      </c>
      <c r="C448" s="56">
        <v>88601</v>
      </c>
      <c r="D448" s="121">
        <f>84887+10722+2240</f>
        <v>97849</v>
      </c>
      <c r="E448" s="121">
        <v>0</v>
      </c>
      <c r="F448" s="27">
        <f t="shared" si="122"/>
        <v>186450</v>
      </c>
      <c r="G448" s="121">
        <v>0</v>
      </c>
      <c r="H448" s="132">
        <f t="shared" si="126"/>
        <v>186450</v>
      </c>
    </row>
    <row r="449" spans="1:8" ht="12">
      <c r="A449" s="78">
        <v>510156</v>
      </c>
      <c r="B449" s="154" t="s">
        <v>323</v>
      </c>
      <c r="C449" s="56">
        <v>12730</v>
      </c>
      <c r="D449" s="121">
        <f>6398+7055</f>
        <v>13453</v>
      </c>
      <c r="E449" s="121">
        <v>0</v>
      </c>
      <c r="F449" s="27">
        <f t="shared" si="122"/>
        <v>26183</v>
      </c>
      <c r="G449" s="121">
        <v>0</v>
      </c>
      <c r="H449" s="132">
        <f t="shared" si="126"/>
        <v>26183</v>
      </c>
    </row>
    <row r="450" spans="1:8" ht="12">
      <c r="A450" s="78">
        <v>510160</v>
      </c>
      <c r="B450" s="154" t="s">
        <v>324</v>
      </c>
      <c r="C450" s="56">
        <v>4964</v>
      </c>
      <c r="D450" s="121">
        <f>3855+890+400</f>
        <v>5145</v>
      </c>
      <c r="E450" s="121">
        <v>0</v>
      </c>
      <c r="F450" s="27">
        <f t="shared" si="122"/>
        <v>10109</v>
      </c>
      <c r="G450" s="121">
        <v>0</v>
      </c>
      <c r="H450" s="132">
        <f t="shared" si="126"/>
        <v>10109</v>
      </c>
    </row>
    <row r="451" spans="1:8" ht="12">
      <c r="A451" s="78">
        <v>510190</v>
      </c>
      <c r="B451" s="154" t="s">
        <v>325</v>
      </c>
      <c r="C451" s="56">
        <v>0</v>
      </c>
      <c r="D451" s="121">
        <v>0</v>
      </c>
      <c r="E451" s="121">
        <v>0</v>
      </c>
      <c r="F451" s="27">
        <f t="shared" si="122"/>
        <v>0</v>
      </c>
      <c r="G451" s="121">
        <v>0</v>
      </c>
      <c r="H451" s="132">
        <f t="shared" si="126"/>
        <v>0</v>
      </c>
    </row>
    <row r="452" spans="1:8" ht="12">
      <c r="A452" s="78">
        <v>510200</v>
      </c>
      <c r="B452" s="153" t="s">
        <v>326</v>
      </c>
      <c r="C452" s="54">
        <f aca="true" t="shared" si="127" ref="C452:H452">SUM(C453:C456)</f>
        <v>28768168</v>
      </c>
      <c r="D452" s="118">
        <f t="shared" si="127"/>
        <v>10772</v>
      </c>
      <c r="E452" s="118">
        <f t="shared" si="127"/>
        <v>0</v>
      </c>
      <c r="F452" s="118">
        <f t="shared" si="127"/>
        <v>28778940</v>
      </c>
      <c r="G452" s="118">
        <f t="shared" si="127"/>
        <v>0</v>
      </c>
      <c r="H452" s="119">
        <f t="shared" si="127"/>
        <v>28778940</v>
      </c>
    </row>
    <row r="453" spans="1:8" ht="12">
      <c r="A453" s="78">
        <v>510201</v>
      </c>
      <c r="B453" s="154" t="s">
        <v>327</v>
      </c>
      <c r="C453" s="56">
        <v>2180</v>
      </c>
      <c r="D453" s="121">
        <v>10772</v>
      </c>
      <c r="E453" s="121">
        <v>0</v>
      </c>
      <c r="F453" s="27">
        <f t="shared" si="122"/>
        <v>12952</v>
      </c>
      <c r="G453" s="121">
        <v>0</v>
      </c>
      <c r="H453" s="132">
        <f t="shared" si="126"/>
        <v>12952</v>
      </c>
    </row>
    <row r="454" spans="1:8" ht="12">
      <c r="A454" s="78">
        <v>510203</v>
      </c>
      <c r="B454" s="154" t="s">
        <v>328</v>
      </c>
      <c r="C454" s="56">
        <v>0</v>
      </c>
      <c r="D454" s="121">
        <v>0</v>
      </c>
      <c r="E454" s="121">
        <v>0</v>
      </c>
      <c r="F454" s="27">
        <f t="shared" si="122"/>
        <v>0</v>
      </c>
      <c r="G454" s="121">
        <v>0</v>
      </c>
      <c r="H454" s="132">
        <f t="shared" si="126"/>
        <v>0</v>
      </c>
    </row>
    <row r="455" spans="1:8" ht="12">
      <c r="A455" s="78">
        <v>510207</v>
      </c>
      <c r="B455" s="154" t="s">
        <v>329</v>
      </c>
      <c r="C455" s="56">
        <v>0</v>
      </c>
      <c r="D455" s="121">
        <v>0</v>
      </c>
      <c r="E455" s="121">
        <v>0</v>
      </c>
      <c r="F455" s="27">
        <f t="shared" si="122"/>
        <v>0</v>
      </c>
      <c r="G455" s="121">
        <v>0</v>
      </c>
      <c r="H455" s="132">
        <f t="shared" si="126"/>
        <v>0</v>
      </c>
    </row>
    <row r="456" spans="1:8" ht="24">
      <c r="A456" s="78">
        <v>510214</v>
      </c>
      <c r="B456" s="154" t="s">
        <v>330</v>
      </c>
      <c r="C456" s="56">
        <v>28765988</v>
      </c>
      <c r="D456" s="121">
        <v>0</v>
      </c>
      <c r="E456" s="121">
        <v>0</v>
      </c>
      <c r="F456" s="27">
        <f t="shared" si="122"/>
        <v>28765988</v>
      </c>
      <c r="G456" s="121">
        <v>0</v>
      </c>
      <c r="H456" s="132">
        <f t="shared" si="126"/>
        <v>28765988</v>
      </c>
    </row>
    <row r="457" spans="1:8" ht="12">
      <c r="A457" s="78">
        <v>510300</v>
      </c>
      <c r="B457" s="153" t="s">
        <v>331</v>
      </c>
      <c r="C457" s="54">
        <f aca="true" t="shared" si="128" ref="C457:H457">SUM(C458:C464)</f>
        <v>609247</v>
      </c>
      <c r="D457" s="118">
        <f t="shared" si="128"/>
        <v>462716</v>
      </c>
      <c r="E457" s="118">
        <f t="shared" si="128"/>
        <v>302983</v>
      </c>
      <c r="F457" s="118">
        <f t="shared" si="128"/>
        <v>768980</v>
      </c>
      <c r="G457" s="118">
        <f t="shared" si="128"/>
        <v>0</v>
      </c>
      <c r="H457" s="119">
        <f t="shared" si="128"/>
        <v>768980</v>
      </c>
    </row>
    <row r="458" spans="1:8" ht="12">
      <c r="A458" s="78">
        <v>510302</v>
      </c>
      <c r="B458" s="154" t="s">
        <v>332</v>
      </c>
      <c r="C458" s="56">
        <v>101366</v>
      </c>
      <c r="D458" s="121">
        <f>65985+12798+1847</f>
        <v>80630</v>
      </c>
      <c r="E458" s="121">
        <f>24416+680</f>
        <v>25096</v>
      </c>
      <c r="F458" s="27">
        <f t="shared" si="122"/>
        <v>156900</v>
      </c>
      <c r="G458" s="121">
        <v>0</v>
      </c>
      <c r="H458" s="132">
        <f t="shared" si="126"/>
        <v>156900</v>
      </c>
    </row>
    <row r="459" spans="1:8" ht="12">
      <c r="A459" s="78">
        <v>510303</v>
      </c>
      <c r="B459" s="154" t="s">
        <v>333</v>
      </c>
      <c r="C459" s="56">
        <v>205654</v>
      </c>
      <c r="D459" s="121">
        <f>128011+34186+3470</f>
        <v>165667</v>
      </c>
      <c r="E459" s="121">
        <v>277774</v>
      </c>
      <c r="F459" s="27">
        <f t="shared" si="122"/>
        <v>93547</v>
      </c>
      <c r="G459" s="121">
        <v>0</v>
      </c>
      <c r="H459" s="132">
        <f t="shared" si="126"/>
        <v>93547</v>
      </c>
    </row>
    <row r="460" spans="1:8" ht="12">
      <c r="A460" s="78">
        <v>510304</v>
      </c>
      <c r="B460" s="154" t="s">
        <v>334</v>
      </c>
      <c r="C460" s="56">
        <v>113</v>
      </c>
      <c r="D460" s="121">
        <v>0</v>
      </c>
      <c r="E460" s="121">
        <v>113</v>
      </c>
      <c r="F460" s="27">
        <f t="shared" si="122"/>
        <v>0</v>
      </c>
      <c r="G460" s="121">
        <v>0</v>
      </c>
      <c r="H460" s="132">
        <f t="shared" si="126"/>
        <v>0</v>
      </c>
    </row>
    <row r="461" spans="1:8" ht="12">
      <c r="A461" s="78">
        <v>510305</v>
      </c>
      <c r="B461" s="154" t="s">
        <v>335</v>
      </c>
      <c r="C461" s="56">
        <v>11714</v>
      </c>
      <c r="D461" s="121">
        <f>8267+1592+227</f>
        <v>10086</v>
      </c>
      <c r="E461" s="121">
        <v>0</v>
      </c>
      <c r="F461" s="27">
        <f t="shared" si="122"/>
        <v>21800</v>
      </c>
      <c r="G461" s="121">
        <v>0</v>
      </c>
      <c r="H461" s="132">
        <f t="shared" si="126"/>
        <v>21800</v>
      </c>
    </row>
    <row r="462" spans="1:8" ht="24">
      <c r="A462" s="78">
        <v>510306</v>
      </c>
      <c r="B462" s="154" t="s">
        <v>336</v>
      </c>
      <c r="C462" s="56">
        <v>140931</v>
      </c>
      <c r="D462" s="121">
        <f>92818+2189</f>
        <v>95007</v>
      </c>
      <c r="E462" s="121">
        <v>0</v>
      </c>
      <c r="F462" s="27">
        <f t="shared" si="122"/>
        <v>235938</v>
      </c>
      <c r="G462" s="121">
        <v>0</v>
      </c>
      <c r="H462" s="132">
        <f t="shared" si="126"/>
        <v>235938</v>
      </c>
    </row>
    <row r="463" spans="1:8" ht="24">
      <c r="A463" s="78">
        <v>510307</v>
      </c>
      <c r="B463" s="154" t="s">
        <v>337</v>
      </c>
      <c r="C463" s="56">
        <v>149469</v>
      </c>
      <c r="D463" s="121">
        <f>83140+25312+2874</f>
        <v>111326</v>
      </c>
      <c r="E463" s="121">
        <v>0</v>
      </c>
      <c r="F463" s="27">
        <f t="shared" si="122"/>
        <v>260795</v>
      </c>
      <c r="G463" s="121">
        <v>0</v>
      </c>
      <c r="H463" s="132">
        <f t="shared" si="126"/>
        <v>260795</v>
      </c>
    </row>
    <row r="464" spans="1:8" ht="12">
      <c r="A464" s="78">
        <v>510390</v>
      </c>
      <c r="B464" s="154" t="s">
        <v>338</v>
      </c>
      <c r="C464" s="56">
        <v>0</v>
      </c>
      <c r="D464" s="121">
        <v>0</v>
      </c>
      <c r="E464" s="121">
        <v>0</v>
      </c>
      <c r="F464" s="27">
        <f t="shared" si="122"/>
        <v>0</v>
      </c>
      <c r="G464" s="121">
        <v>0</v>
      </c>
      <c r="H464" s="132">
        <f t="shared" si="126"/>
        <v>0</v>
      </c>
    </row>
    <row r="465" spans="1:8" ht="12">
      <c r="A465" s="78">
        <v>510400</v>
      </c>
      <c r="B465" s="153" t="s">
        <v>339</v>
      </c>
      <c r="C465" s="54">
        <f aca="true" t="shared" si="129" ref="C465:H465">SUM(C466:C469)</f>
        <v>5057357</v>
      </c>
      <c r="D465" s="118">
        <f t="shared" si="129"/>
        <v>155715</v>
      </c>
      <c r="E465" s="118">
        <f t="shared" si="129"/>
        <v>102352</v>
      </c>
      <c r="F465" s="118">
        <f t="shared" si="129"/>
        <v>5110720</v>
      </c>
      <c r="G465" s="118">
        <f t="shared" si="129"/>
        <v>0</v>
      </c>
      <c r="H465" s="119">
        <f t="shared" si="129"/>
        <v>5110720</v>
      </c>
    </row>
    <row r="466" spans="1:8" ht="12">
      <c r="A466" s="78">
        <v>510401</v>
      </c>
      <c r="B466" s="154" t="s">
        <v>340</v>
      </c>
      <c r="C466" s="56">
        <v>4309423</v>
      </c>
      <c r="D466" s="121">
        <f>47446+9774+1385</f>
        <v>58605</v>
      </c>
      <c r="E466" s="121">
        <v>0</v>
      </c>
      <c r="F466" s="27">
        <f t="shared" si="122"/>
        <v>4368028</v>
      </c>
      <c r="G466" s="121">
        <v>0</v>
      </c>
      <c r="H466" s="132">
        <f t="shared" si="126"/>
        <v>4368028</v>
      </c>
    </row>
    <row r="467" spans="1:8" ht="12">
      <c r="A467" s="78">
        <v>510402</v>
      </c>
      <c r="B467" s="154" t="s">
        <v>341</v>
      </c>
      <c r="C467" s="56">
        <v>11060</v>
      </c>
      <c r="D467" s="121">
        <f>7908+231</f>
        <v>8139</v>
      </c>
      <c r="E467" s="121">
        <v>0</v>
      </c>
      <c r="F467" s="27">
        <f t="shared" si="122"/>
        <v>19199</v>
      </c>
      <c r="G467" s="121">
        <v>0</v>
      </c>
      <c r="H467" s="132">
        <f t="shared" si="126"/>
        <v>19199</v>
      </c>
    </row>
    <row r="468" spans="1:8" ht="12">
      <c r="A468" s="78">
        <v>510403</v>
      </c>
      <c r="B468" s="154" t="s">
        <v>342</v>
      </c>
      <c r="C468" s="56">
        <v>714754</v>
      </c>
      <c r="D468" s="121">
        <f>7908+231</f>
        <v>8139</v>
      </c>
      <c r="E468" s="121">
        <v>37800</v>
      </c>
      <c r="F468" s="27">
        <f t="shared" si="122"/>
        <v>685093</v>
      </c>
      <c r="G468" s="121">
        <v>0</v>
      </c>
      <c r="H468" s="132">
        <f t="shared" si="126"/>
        <v>685093</v>
      </c>
    </row>
    <row r="469" spans="1:8" ht="24">
      <c r="A469" s="78">
        <v>510404</v>
      </c>
      <c r="B469" s="154" t="s">
        <v>343</v>
      </c>
      <c r="C469" s="56">
        <v>22120</v>
      </c>
      <c r="D469" s="121">
        <f>15818+462+64552</f>
        <v>80832</v>
      </c>
      <c r="E469" s="121">
        <v>64552</v>
      </c>
      <c r="F469" s="27">
        <f t="shared" si="122"/>
        <v>38400</v>
      </c>
      <c r="G469" s="121">
        <v>0</v>
      </c>
      <c r="H469" s="132">
        <f t="shared" si="126"/>
        <v>38400</v>
      </c>
    </row>
    <row r="470" spans="1:8" ht="12">
      <c r="A470" s="78">
        <v>511100</v>
      </c>
      <c r="B470" s="153" t="s">
        <v>344</v>
      </c>
      <c r="C470" s="54">
        <f aca="true" t="shared" si="130" ref="C470:H470">SUM(C471:C502)</f>
        <v>1243584</v>
      </c>
      <c r="D470" s="118">
        <f t="shared" si="130"/>
        <v>2090560</v>
      </c>
      <c r="E470" s="118">
        <f t="shared" si="130"/>
        <v>86726</v>
      </c>
      <c r="F470" s="118">
        <f t="shared" si="130"/>
        <v>3247418</v>
      </c>
      <c r="G470" s="118">
        <f t="shared" si="130"/>
        <v>0</v>
      </c>
      <c r="H470" s="119">
        <f t="shared" si="130"/>
        <v>3247418</v>
      </c>
    </row>
    <row r="471" spans="1:8" ht="12">
      <c r="A471" s="78">
        <v>511103</v>
      </c>
      <c r="B471" s="154" t="s">
        <v>345</v>
      </c>
      <c r="C471" s="56">
        <v>0</v>
      </c>
      <c r="D471" s="121">
        <v>0</v>
      </c>
      <c r="E471" s="121">
        <v>0</v>
      </c>
      <c r="F471" s="27">
        <f t="shared" si="122"/>
        <v>0</v>
      </c>
      <c r="G471" s="121">
        <v>0</v>
      </c>
      <c r="H471" s="132">
        <f t="shared" si="126"/>
        <v>0</v>
      </c>
    </row>
    <row r="472" spans="1:8" ht="12">
      <c r="A472" s="78">
        <v>511104</v>
      </c>
      <c r="B472" s="154" t="s">
        <v>346</v>
      </c>
      <c r="C472" s="56">
        <v>0</v>
      </c>
      <c r="D472" s="121">
        <v>0</v>
      </c>
      <c r="E472" s="121">
        <v>0</v>
      </c>
      <c r="F472" s="27">
        <f t="shared" si="122"/>
        <v>0</v>
      </c>
      <c r="G472" s="121">
        <v>0</v>
      </c>
      <c r="H472" s="132">
        <f t="shared" si="126"/>
        <v>0</v>
      </c>
    </row>
    <row r="473" spans="1:8" ht="12">
      <c r="A473" s="78">
        <v>511106</v>
      </c>
      <c r="B473" s="154" t="s">
        <v>77</v>
      </c>
      <c r="C473" s="56">
        <v>66792</v>
      </c>
      <c r="D473" s="121">
        <v>34998</v>
      </c>
      <c r="E473" s="121">
        <v>51656</v>
      </c>
      <c r="F473" s="27">
        <f t="shared" si="122"/>
        <v>50134</v>
      </c>
      <c r="G473" s="121">
        <v>0</v>
      </c>
      <c r="H473" s="132">
        <f t="shared" si="126"/>
        <v>50134</v>
      </c>
    </row>
    <row r="474" spans="1:8" ht="12">
      <c r="A474" s="78">
        <v>511109</v>
      </c>
      <c r="B474" s="154" t="s">
        <v>78</v>
      </c>
      <c r="C474" s="56">
        <v>31862</v>
      </c>
      <c r="D474" s="121">
        <v>0</v>
      </c>
      <c r="E474" s="121">
        <v>0</v>
      </c>
      <c r="F474" s="27">
        <f t="shared" si="122"/>
        <v>31862</v>
      </c>
      <c r="G474" s="121">
        <v>0</v>
      </c>
      <c r="H474" s="132">
        <f t="shared" si="126"/>
        <v>31862</v>
      </c>
    </row>
    <row r="475" spans="1:8" ht="12">
      <c r="A475" s="78">
        <v>511111</v>
      </c>
      <c r="B475" s="154" t="s">
        <v>347</v>
      </c>
      <c r="C475" s="56">
        <v>418387</v>
      </c>
      <c r="D475" s="121">
        <f>56928+571856</f>
        <v>628784</v>
      </c>
      <c r="E475" s="121">
        <v>0</v>
      </c>
      <c r="F475" s="27">
        <f t="shared" si="122"/>
        <v>1047171</v>
      </c>
      <c r="G475" s="121">
        <v>0</v>
      </c>
      <c r="H475" s="132">
        <f t="shared" si="126"/>
        <v>1047171</v>
      </c>
    </row>
    <row r="476" spans="1:8" ht="12">
      <c r="A476" s="78">
        <v>511113</v>
      </c>
      <c r="B476" s="154" t="s">
        <v>348</v>
      </c>
      <c r="C476" s="56">
        <v>68508</v>
      </c>
      <c r="D476" s="121">
        <f>74881+10172+12931</f>
        <v>97984</v>
      </c>
      <c r="E476" s="121">
        <v>0</v>
      </c>
      <c r="F476" s="27">
        <f t="shared" si="122"/>
        <v>166492</v>
      </c>
      <c r="G476" s="121">
        <v>0</v>
      </c>
      <c r="H476" s="132">
        <f t="shared" si="126"/>
        <v>166492</v>
      </c>
    </row>
    <row r="477" spans="1:8" ht="12">
      <c r="A477" s="78">
        <v>511114</v>
      </c>
      <c r="B477" s="154" t="s">
        <v>349</v>
      </c>
      <c r="C477" s="56">
        <v>56998</v>
      </c>
      <c r="D477" s="121">
        <f>246910+43700+15745</f>
        <v>306355</v>
      </c>
      <c r="E477" s="121">
        <v>3750</v>
      </c>
      <c r="F477" s="27">
        <f t="shared" si="122"/>
        <v>359603</v>
      </c>
      <c r="G477" s="121">
        <v>0</v>
      </c>
      <c r="H477" s="132">
        <f t="shared" si="126"/>
        <v>359603</v>
      </c>
    </row>
    <row r="478" spans="1:8" ht="12">
      <c r="A478" s="78">
        <v>511115</v>
      </c>
      <c r="B478" s="154" t="s">
        <v>71</v>
      </c>
      <c r="C478" s="56">
        <v>126765</v>
      </c>
      <c r="D478" s="121">
        <f>63590+101883+4134</f>
        <v>169607</v>
      </c>
      <c r="E478" s="121">
        <v>6103</v>
      </c>
      <c r="F478" s="27">
        <f t="shared" si="122"/>
        <v>290269</v>
      </c>
      <c r="G478" s="121">
        <v>0</v>
      </c>
      <c r="H478" s="132">
        <f t="shared" si="126"/>
        <v>290269</v>
      </c>
    </row>
    <row r="479" spans="1:8" ht="12">
      <c r="A479" s="78">
        <v>511116</v>
      </c>
      <c r="B479" s="154" t="s">
        <v>350</v>
      </c>
      <c r="C479" s="56">
        <v>1328</v>
      </c>
      <c r="D479" s="121">
        <v>2179</v>
      </c>
      <c r="E479" s="121">
        <v>0</v>
      </c>
      <c r="F479" s="27">
        <f>C479+D479-E479</f>
        <v>3507</v>
      </c>
      <c r="G479" s="121">
        <v>0</v>
      </c>
      <c r="H479" s="132">
        <f t="shared" si="126"/>
        <v>3507</v>
      </c>
    </row>
    <row r="480" spans="1:8" ht="12">
      <c r="A480" s="78">
        <v>511117</v>
      </c>
      <c r="B480" s="154" t="s">
        <v>147</v>
      </c>
      <c r="C480" s="56">
        <v>88120</v>
      </c>
      <c r="D480" s="121">
        <f>151074+25153+14264</f>
        <v>190491</v>
      </c>
      <c r="E480" s="121">
        <v>18</v>
      </c>
      <c r="F480" s="27">
        <f aca="true" t="shared" si="131" ref="F480:F513">+C480+D480-E480</f>
        <v>278593</v>
      </c>
      <c r="G480" s="121">
        <v>0</v>
      </c>
      <c r="H480" s="132">
        <f t="shared" si="126"/>
        <v>278593</v>
      </c>
    </row>
    <row r="481" spans="1:8" ht="12">
      <c r="A481" s="78">
        <v>511118</v>
      </c>
      <c r="B481" s="154" t="s">
        <v>0</v>
      </c>
      <c r="C481" s="56">
        <v>17560</v>
      </c>
      <c r="D481" s="121">
        <f>3214+15945</f>
        <v>19159</v>
      </c>
      <c r="E481" s="121">
        <v>0</v>
      </c>
      <c r="F481" s="27">
        <f t="shared" si="131"/>
        <v>36719</v>
      </c>
      <c r="G481" s="121">
        <v>0</v>
      </c>
      <c r="H481" s="132">
        <f t="shared" si="126"/>
        <v>36719</v>
      </c>
    </row>
    <row r="482" spans="1:8" ht="12">
      <c r="A482" s="78">
        <v>511119</v>
      </c>
      <c r="B482" s="154" t="s">
        <v>351</v>
      </c>
      <c r="C482" s="56">
        <v>136609</v>
      </c>
      <c r="D482" s="121">
        <f>148828+42402+23703</f>
        <v>214933</v>
      </c>
      <c r="E482" s="121">
        <v>0</v>
      </c>
      <c r="F482" s="27">
        <f t="shared" si="131"/>
        <v>351542</v>
      </c>
      <c r="G482" s="121">
        <v>0</v>
      </c>
      <c r="H482" s="132">
        <f t="shared" si="126"/>
        <v>351542</v>
      </c>
    </row>
    <row r="483" spans="1:8" ht="12">
      <c r="A483" s="78">
        <v>511120</v>
      </c>
      <c r="B483" s="154" t="s">
        <v>352</v>
      </c>
      <c r="C483" s="56">
        <v>0</v>
      </c>
      <c r="D483" s="121">
        <v>48329</v>
      </c>
      <c r="E483" s="121">
        <v>0</v>
      </c>
      <c r="F483" s="27">
        <f t="shared" si="131"/>
        <v>48329</v>
      </c>
      <c r="G483" s="121">
        <v>0</v>
      </c>
      <c r="H483" s="132">
        <f t="shared" si="126"/>
        <v>48329</v>
      </c>
    </row>
    <row r="484" spans="1:8" ht="24">
      <c r="A484" s="78">
        <v>511121</v>
      </c>
      <c r="B484" s="154" t="s">
        <v>353</v>
      </c>
      <c r="C484" s="56">
        <v>18753</v>
      </c>
      <c r="D484" s="121">
        <f>21737+2035+3044</f>
        <v>26816</v>
      </c>
      <c r="E484" s="121">
        <v>0</v>
      </c>
      <c r="F484" s="27">
        <f t="shared" si="131"/>
        <v>45569</v>
      </c>
      <c r="G484" s="121">
        <v>0</v>
      </c>
      <c r="H484" s="132">
        <f t="shared" si="126"/>
        <v>45569</v>
      </c>
    </row>
    <row r="485" spans="1:8" ht="12">
      <c r="A485" s="78">
        <v>511122</v>
      </c>
      <c r="B485" s="154" t="s">
        <v>354</v>
      </c>
      <c r="C485" s="56">
        <v>8831</v>
      </c>
      <c r="D485" s="121">
        <f>3465+7786</f>
        <v>11251</v>
      </c>
      <c r="E485" s="121">
        <v>0</v>
      </c>
      <c r="F485" s="27">
        <f t="shared" si="131"/>
        <v>20082</v>
      </c>
      <c r="G485" s="121">
        <v>0</v>
      </c>
      <c r="H485" s="132">
        <f t="shared" si="126"/>
        <v>20082</v>
      </c>
    </row>
    <row r="486" spans="1:8" ht="12">
      <c r="A486" s="78">
        <v>511123</v>
      </c>
      <c r="B486" s="154" t="s">
        <v>355</v>
      </c>
      <c r="C486" s="56">
        <v>51965</v>
      </c>
      <c r="D486" s="121">
        <f>51589+5692+20661</f>
        <v>77942</v>
      </c>
      <c r="E486" s="121">
        <v>0</v>
      </c>
      <c r="F486" s="27">
        <f t="shared" si="131"/>
        <v>129907</v>
      </c>
      <c r="G486" s="121">
        <v>0</v>
      </c>
      <c r="H486" s="132">
        <f t="shared" si="126"/>
        <v>129907</v>
      </c>
    </row>
    <row r="487" spans="1:8" ht="12">
      <c r="A487" s="78">
        <v>511125</v>
      </c>
      <c r="B487" s="154" t="s">
        <v>356</v>
      </c>
      <c r="C487" s="56">
        <v>48229</v>
      </c>
      <c r="D487" s="121">
        <f>65694+16730+2038+6103</f>
        <v>90565</v>
      </c>
      <c r="E487" s="121">
        <v>0</v>
      </c>
      <c r="F487" s="27">
        <f t="shared" si="131"/>
        <v>138794</v>
      </c>
      <c r="G487" s="121">
        <v>0</v>
      </c>
      <c r="H487" s="132">
        <f t="shared" si="126"/>
        <v>138794</v>
      </c>
    </row>
    <row r="488" spans="1:8" ht="12">
      <c r="A488" s="78">
        <v>511126</v>
      </c>
      <c r="B488" s="154" t="s">
        <v>357</v>
      </c>
      <c r="C488" s="56">
        <v>0</v>
      </c>
      <c r="D488" s="121">
        <v>0</v>
      </c>
      <c r="E488" s="121">
        <v>0</v>
      </c>
      <c r="F488" s="27">
        <f t="shared" si="131"/>
        <v>0</v>
      </c>
      <c r="G488" s="121">
        <v>0</v>
      </c>
      <c r="H488" s="132">
        <f t="shared" si="126"/>
        <v>0</v>
      </c>
    </row>
    <row r="489" spans="1:8" ht="12">
      <c r="A489" s="78">
        <v>511127</v>
      </c>
      <c r="B489" s="154" t="s">
        <v>358</v>
      </c>
      <c r="C489" s="56">
        <v>29928</v>
      </c>
      <c r="D489" s="121">
        <v>0</v>
      </c>
      <c r="E489" s="121">
        <v>0</v>
      </c>
      <c r="F489" s="27">
        <f t="shared" si="131"/>
        <v>29928</v>
      </c>
      <c r="G489" s="121">
        <v>0</v>
      </c>
      <c r="H489" s="132">
        <f aca="true" t="shared" si="132" ref="H489:H513">+F489</f>
        <v>29928</v>
      </c>
    </row>
    <row r="490" spans="1:8" ht="12">
      <c r="A490" s="78">
        <v>511128</v>
      </c>
      <c r="B490" s="154" t="s">
        <v>359</v>
      </c>
      <c r="C490" s="56">
        <v>1500</v>
      </c>
      <c r="D490" s="121">
        <v>0</v>
      </c>
      <c r="E490" s="121">
        <v>0</v>
      </c>
      <c r="F490" s="27">
        <f t="shared" si="131"/>
        <v>1500</v>
      </c>
      <c r="G490" s="121">
        <v>0</v>
      </c>
      <c r="H490" s="132">
        <f t="shared" si="132"/>
        <v>1500</v>
      </c>
    </row>
    <row r="491" spans="1:8" ht="12">
      <c r="A491" s="78">
        <v>511131</v>
      </c>
      <c r="B491" s="154" t="s">
        <v>360</v>
      </c>
      <c r="C491" s="56">
        <v>0</v>
      </c>
      <c r="D491" s="121">
        <v>0</v>
      </c>
      <c r="E491" s="121">
        <v>0</v>
      </c>
      <c r="F491" s="27">
        <f t="shared" si="131"/>
        <v>0</v>
      </c>
      <c r="G491" s="121">
        <v>0</v>
      </c>
      <c r="H491" s="132">
        <f t="shared" si="132"/>
        <v>0</v>
      </c>
    </row>
    <row r="492" spans="1:8" ht="12">
      <c r="A492" s="78">
        <v>511132</v>
      </c>
      <c r="B492" s="154" t="s">
        <v>361</v>
      </c>
      <c r="C492" s="56">
        <v>5000</v>
      </c>
      <c r="D492" s="121">
        <v>0</v>
      </c>
      <c r="E492" s="121">
        <v>0</v>
      </c>
      <c r="F492" s="27">
        <f t="shared" si="131"/>
        <v>5000</v>
      </c>
      <c r="G492" s="121">
        <v>0</v>
      </c>
      <c r="H492" s="132">
        <f t="shared" si="132"/>
        <v>5000</v>
      </c>
    </row>
    <row r="493" spans="1:8" ht="12">
      <c r="A493" s="78">
        <v>511133</v>
      </c>
      <c r="B493" s="154" t="s">
        <v>362</v>
      </c>
      <c r="C493" s="56">
        <v>2600</v>
      </c>
      <c r="D493" s="121">
        <v>0</v>
      </c>
      <c r="E493" s="121">
        <v>0</v>
      </c>
      <c r="F493" s="27">
        <f t="shared" si="131"/>
        <v>2600</v>
      </c>
      <c r="G493" s="121">
        <v>0</v>
      </c>
      <c r="H493" s="132">
        <f t="shared" si="132"/>
        <v>2600</v>
      </c>
    </row>
    <row r="494" spans="1:8" ht="12">
      <c r="A494" s="78">
        <v>511136</v>
      </c>
      <c r="B494" s="154" t="s">
        <v>363</v>
      </c>
      <c r="C494" s="56">
        <v>17058</v>
      </c>
      <c r="D494" s="121">
        <v>15878</v>
      </c>
      <c r="E494" s="121">
        <v>0</v>
      </c>
      <c r="F494" s="27">
        <f t="shared" si="131"/>
        <v>32936</v>
      </c>
      <c r="G494" s="121">
        <v>0</v>
      </c>
      <c r="H494" s="132">
        <f t="shared" si="132"/>
        <v>32936</v>
      </c>
    </row>
    <row r="495" spans="1:8" ht="12">
      <c r="A495" s="78">
        <v>511137</v>
      </c>
      <c r="B495" s="154" t="s">
        <v>364</v>
      </c>
      <c r="C495" s="56">
        <v>0</v>
      </c>
      <c r="D495" s="121">
        <v>8955</v>
      </c>
      <c r="E495" s="121">
        <v>0</v>
      </c>
      <c r="F495" s="27">
        <f t="shared" si="131"/>
        <v>8955</v>
      </c>
      <c r="G495" s="121">
        <v>0</v>
      </c>
      <c r="H495" s="132">
        <f t="shared" si="132"/>
        <v>8955</v>
      </c>
    </row>
    <row r="496" spans="1:8" ht="12">
      <c r="A496" s="78">
        <v>511146</v>
      </c>
      <c r="B496" s="154" t="s">
        <v>365</v>
      </c>
      <c r="C496" s="56">
        <v>8493</v>
      </c>
      <c r="D496" s="121">
        <f>32438+1670+1323</f>
        <v>35431</v>
      </c>
      <c r="E496" s="121">
        <v>0</v>
      </c>
      <c r="F496" s="27">
        <f t="shared" si="131"/>
        <v>43924</v>
      </c>
      <c r="G496" s="121">
        <v>0</v>
      </c>
      <c r="H496" s="132">
        <f t="shared" si="132"/>
        <v>43924</v>
      </c>
    </row>
    <row r="497" spans="1:8" ht="12">
      <c r="A497" s="78">
        <v>511149</v>
      </c>
      <c r="B497" s="154" t="s">
        <v>366</v>
      </c>
      <c r="C497" s="56">
        <v>30653</v>
      </c>
      <c r="D497" s="121">
        <f>61780+3769</f>
        <v>65549</v>
      </c>
      <c r="E497" s="121">
        <v>0</v>
      </c>
      <c r="F497" s="27">
        <f t="shared" si="131"/>
        <v>96202</v>
      </c>
      <c r="G497" s="121">
        <v>0</v>
      </c>
      <c r="H497" s="132">
        <f t="shared" si="132"/>
        <v>96202</v>
      </c>
    </row>
    <row r="498" spans="1:8" ht="12">
      <c r="A498" s="78">
        <v>511150</v>
      </c>
      <c r="B498" s="154" t="s">
        <v>367</v>
      </c>
      <c r="C498" s="56">
        <v>0</v>
      </c>
      <c r="D498" s="121">
        <v>0</v>
      </c>
      <c r="E498" s="121">
        <v>0</v>
      </c>
      <c r="F498" s="27">
        <f t="shared" si="131"/>
        <v>0</v>
      </c>
      <c r="G498" s="121">
        <v>0</v>
      </c>
      <c r="H498" s="132">
        <f t="shared" si="132"/>
        <v>0</v>
      </c>
    </row>
    <row r="499" spans="1:8" ht="12">
      <c r="A499" s="78">
        <v>511152</v>
      </c>
      <c r="B499" s="154" t="s">
        <v>368</v>
      </c>
      <c r="C499" s="56">
        <v>0</v>
      </c>
      <c r="D499" s="121">
        <v>62</v>
      </c>
      <c r="E499" s="121">
        <v>0</v>
      </c>
      <c r="F499" s="27">
        <f t="shared" si="131"/>
        <v>62</v>
      </c>
      <c r="G499" s="121">
        <v>0</v>
      </c>
      <c r="H499" s="132">
        <f t="shared" si="132"/>
        <v>62</v>
      </c>
    </row>
    <row r="500" spans="1:8" ht="12">
      <c r="A500" s="78">
        <v>511154</v>
      </c>
      <c r="B500" s="154" t="s">
        <v>369</v>
      </c>
      <c r="C500" s="56">
        <v>2400</v>
      </c>
      <c r="D500" s="121">
        <f>5327+13564</f>
        <v>18891</v>
      </c>
      <c r="E500" s="121">
        <v>0</v>
      </c>
      <c r="F500" s="27">
        <f t="shared" si="131"/>
        <v>21291</v>
      </c>
      <c r="G500" s="121">
        <v>0</v>
      </c>
      <c r="H500" s="132">
        <f t="shared" si="132"/>
        <v>21291</v>
      </c>
    </row>
    <row r="501" spans="1:8" ht="12">
      <c r="A501" s="78">
        <v>511155</v>
      </c>
      <c r="B501" s="154" t="s">
        <v>370</v>
      </c>
      <c r="C501" s="56">
        <v>5245</v>
      </c>
      <c r="D501" s="121">
        <f>19954+6447</f>
        <v>26401</v>
      </c>
      <c r="E501" s="121">
        <v>25199</v>
      </c>
      <c r="F501" s="27">
        <f t="shared" si="131"/>
        <v>6447</v>
      </c>
      <c r="G501" s="121">
        <v>0</v>
      </c>
      <c r="H501" s="132">
        <f t="shared" si="132"/>
        <v>6447</v>
      </c>
    </row>
    <row r="502" spans="1:8" ht="12">
      <c r="A502" s="78">
        <v>511190</v>
      </c>
      <c r="B502" s="154" t="s">
        <v>371</v>
      </c>
      <c r="C502" s="56">
        <v>0</v>
      </c>
      <c r="D502" s="121">
        <v>0</v>
      </c>
      <c r="E502" s="121">
        <v>0</v>
      </c>
      <c r="F502" s="27">
        <f t="shared" si="131"/>
        <v>0</v>
      </c>
      <c r="G502" s="121">
        <v>0</v>
      </c>
      <c r="H502" s="132">
        <f t="shared" si="132"/>
        <v>0</v>
      </c>
    </row>
    <row r="503" spans="1:8" ht="12">
      <c r="A503" s="78">
        <v>512000</v>
      </c>
      <c r="B503" s="153" t="s">
        <v>372</v>
      </c>
      <c r="C503" s="54">
        <f aca="true" t="shared" si="133" ref="C503:H503">SUM(C504:C513)</f>
        <v>4046</v>
      </c>
      <c r="D503" s="118">
        <f t="shared" si="133"/>
        <v>2035422</v>
      </c>
      <c r="E503" s="118">
        <f t="shared" si="133"/>
        <v>0</v>
      </c>
      <c r="F503" s="118">
        <f t="shared" si="133"/>
        <v>2039468</v>
      </c>
      <c r="G503" s="118">
        <f t="shared" si="133"/>
        <v>0</v>
      </c>
      <c r="H503" s="119">
        <f t="shared" si="133"/>
        <v>2039468</v>
      </c>
    </row>
    <row r="504" spans="1:8" ht="12">
      <c r="A504" s="78">
        <v>512001</v>
      </c>
      <c r="B504" s="154" t="s">
        <v>178</v>
      </c>
      <c r="C504" s="56">
        <v>0</v>
      </c>
      <c r="D504" s="121">
        <f>4667+5400</f>
        <v>10067</v>
      </c>
      <c r="E504" s="121">
        <v>0</v>
      </c>
      <c r="F504" s="27">
        <f t="shared" si="131"/>
        <v>10067</v>
      </c>
      <c r="G504" s="121">
        <v>0</v>
      </c>
      <c r="H504" s="132">
        <f t="shared" si="132"/>
        <v>10067</v>
      </c>
    </row>
    <row r="505" spans="1:8" ht="12">
      <c r="A505" s="78">
        <v>512002</v>
      </c>
      <c r="B505" s="154" t="s">
        <v>373</v>
      </c>
      <c r="C505" s="56">
        <v>0</v>
      </c>
      <c r="D505" s="121">
        <v>1990733</v>
      </c>
      <c r="E505" s="121">
        <v>0</v>
      </c>
      <c r="F505" s="27">
        <f t="shared" si="131"/>
        <v>1990733</v>
      </c>
      <c r="G505" s="121">
        <v>0</v>
      </c>
      <c r="H505" s="132">
        <f t="shared" si="132"/>
        <v>1990733</v>
      </c>
    </row>
    <row r="506" spans="1:8" ht="24">
      <c r="A506" s="78">
        <v>512003</v>
      </c>
      <c r="B506" s="154" t="s">
        <v>374</v>
      </c>
      <c r="C506" s="56">
        <v>0</v>
      </c>
      <c r="D506" s="121">
        <v>0</v>
      </c>
      <c r="E506" s="121">
        <v>0</v>
      </c>
      <c r="F506" s="27">
        <f t="shared" si="131"/>
        <v>0</v>
      </c>
      <c r="G506" s="121">
        <v>0</v>
      </c>
      <c r="H506" s="132">
        <f t="shared" si="132"/>
        <v>0</v>
      </c>
    </row>
    <row r="507" spans="1:8" ht="12">
      <c r="A507" s="78">
        <v>512006</v>
      </c>
      <c r="B507" s="154" t="s">
        <v>179</v>
      </c>
      <c r="C507" s="56">
        <v>0</v>
      </c>
      <c r="D507" s="121">
        <v>23010</v>
      </c>
      <c r="E507" s="121">
        <v>0</v>
      </c>
      <c r="F507" s="27">
        <f t="shared" si="131"/>
        <v>23010</v>
      </c>
      <c r="G507" s="121">
        <v>0</v>
      </c>
      <c r="H507" s="132">
        <f t="shared" si="132"/>
        <v>23010</v>
      </c>
    </row>
    <row r="508" spans="1:8" ht="12">
      <c r="A508" s="78">
        <v>512007</v>
      </c>
      <c r="B508" s="154" t="s">
        <v>2804</v>
      </c>
      <c r="C508" s="56">
        <v>0</v>
      </c>
      <c r="D508" s="121">
        <v>0</v>
      </c>
      <c r="E508" s="121">
        <v>0</v>
      </c>
      <c r="F508" s="27">
        <f t="shared" si="131"/>
        <v>0</v>
      </c>
      <c r="G508" s="121">
        <v>0</v>
      </c>
      <c r="H508" s="132">
        <f t="shared" si="132"/>
        <v>0</v>
      </c>
    </row>
    <row r="509" spans="1:8" ht="12">
      <c r="A509" s="78">
        <v>512009</v>
      </c>
      <c r="B509" s="154" t="s">
        <v>375</v>
      </c>
      <c r="C509" s="56">
        <v>0</v>
      </c>
      <c r="D509" s="121">
        <v>0</v>
      </c>
      <c r="E509" s="121">
        <v>0</v>
      </c>
      <c r="F509" s="27">
        <f t="shared" si="131"/>
        <v>0</v>
      </c>
      <c r="G509" s="121">
        <v>0</v>
      </c>
      <c r="H509" s="132">
        <f t="shared" si="132"/>
        <v>0</v>
      </c>
    </row>
    <row r="510" spans="1:8" ht="12">
      <c r="A510" s="78">
        <v>512010</v>
      </c>
      <c r="B510" s="154" t="s">
        <v>2803</v>
      </c>
      <c r="C510" s="56">
        <v>0</v>
      </c>
      <c r="D510" s="121">
        <v>0</v>
      </c>
      <c r="E510" s="121">
        <v>0</v>
      </c>
      <c r="F510" s="27">
        <f t="shared" si="131"/>
        <v>0</v>
      </c>
      <c r="G510" s="121">
        <v>0</v>
      </c>
      <c r="H510" s="132">
        <f t="shared" si="132"/>
        <v>0</v>
      </c>
    </row>
    <row r="511" spans="1:8" ht="12">
      <c r="A511" s="78">
        <v>512011</v>
      </c>
      <c r="B511" s="154" t="s">
        <v>181</v>
      </c>
      <c r="C511" s="56">
        <v>1850</v>
      </c>
      <c r="D511" s="121">
        <f>4603+959+402</f>
        <v>5964</v>
      </c>
      <c r="E511" s="121">
        <v>0</v>
      </c>
      <c r="F511" s="27">
        <f t="shared" si="131"/>
        <v>7814</v>
      </c>
      <c r="G511" s="121">
        <v>0</v>
      </c>
      <c r="H511" s="132">
        <f t="shared" si="132"/>
        <v>7814</v>
      </c>
    </row>
    <row r="512" spans="1:8" ht="12">
      <c r="A512" s="78">
        <v>512024</v>
      </c>
      <c r="B512" s="154" t="s">
        <v>376</v>
      </c>
      <c r="C512" s="56">
        <v>2196</v>
      </c>
      <c r="D512" s="121">
        <v>5648</v>
      </c>
      <c r="E512" s="121">
        <v>0</v>
      </c>
      <c r="F512" s="27">
        <f t="shared" si="131"/>
        <v>7844</v>
      </c>
      <c r="G512" s="121">
        <v>0</v>
      </c>
      <c r="H512" s="132">
        <f t="shared" si="132"/>
        <v>7844</v>
      </c>
    </row>
    <row r="513" spans="1:8" ht="12">
      <c r="A513" s="78">
        <v>512090</v>
      </c>
      <c r="B513" s="154" t="s">
        <v>377</v>
      </c>
      <c r="C513" s="56">
        <v>0</v>
      </c>
      <c r="D513" s="121">
        <v>0</v>
      </c>
      <c r="E513" s="121">
        <v>0</v>
      </c>
      <c r="F513" s="27">
        <f t="shared" si="131"/>
        <v>0</v>
      </c>
      <c r="G513" s="121">
        <v>0</v>
      </c>
      <c r="H513" s="132">
        <f t="shared" si="132"/>
        <v>0</v>
      </c>
    </row>
    <row r="514" spans="1:8" ht="24">
      <c r="A514" s="78">
        <v>530000</v>
      </c>
      <c r="B514" s="153" t="s">
        <v>378</v>
      </c>
      <c r="C514" s="54">
        <f aca="true" t="shared" si="134" ref="C514:H514">C515+C519+C521+C523+C525+C533+C535</f>
        <v>1657335695</v>
      </c>
      <c r="D514" s="54">
        <f t="shared" si="134"/>
        <v>647509</v>
      </c>
      <c r="E514" s="54">
        <f t="shared" si="134"/>
        <v>1656411410</v>
      </c>
      <c r="F514" s="54">
        <f t="shared" si="134"/>
        <v>1571794</v>
      </c>
      <c r="G514" s="54">
        <f t="shared" si="134"/>
        <v>0</v>
      </c>
      <c r="H514" s="55">
        <f t="shared" si="134"/>
        <v>1571794</v>
      </c>
    </row>
    <row r="515" spans="1:8" ht="12">
      <c r="A515" s="78">
        <v>530400</v>
      </c>
      <c r="B515" s="153" t="s">
        <v>379</v>
      </c>
      <c r="C515" s="54">
        <f aca="true" t="shared" si="135" ref="C515:H515">SUM(C516:C518)</f>
        <v>0</v>
      </c>
      <c r="D515" s="118">
        <f t="shared" si="135"/>
        <v>0</v>
      </c>
      <c r="E515" s="118">
        <f t="shared" si="135"/>
        <v>0</v>
      </c>
      <c r="F515" s="118">
        <f t="shared" si="135"/>
        <v>0</v>
      </c>
      <c r="G515" s="118">
        <f t="shared" si="135"/>
        <v>0</v>
      </c>
      <c r="H515" s="119">
        <f t="shared" si="135"/>
        <v>0</v>
      </c>
    </row>
    <row r="516" spans="1:8" ht="12">
      <c r="A516" s="78">
        <v>530403</v>
      </c>
      <c r="B516" s="154" t="s">
        <v>7</v>
      </c>
      <c r="C516" s="56">
        <v>0</v>
      </c>
      <c r="D516" s="121">
        <v>0</v>
      </c>
      <c r="E516" s="121">
        <v>0</v>
      </c>
      <c r="F516" s="27">
        <f aca="true" t="shared" si="136" ref="F516:F571">+C516+D516-E516</f>
        <v>0</v>
      </c>
      <c r="G516" s="121">
        <v>0</v>
      </c>
      <c r="H516" s="132">
        <f aca="true" t="shared" si="137" ref="H516:H537">+F516</f>
        <v>0</v>
      </c>
    </row>
    <row r="517" spans="1:8" ht="12">
      <c r="A517" s="78">
        <v>530410</v>
      </c>
      <c r="B517" s="154" t="s">
        <v>6</v>
      </c>
      <c r="C517" s="56">
        <v>0</v>
      </c>
      <c r="D517" s="121">
        <v>0</v>
      </c>
      <c r="E517" s="121">
        <v>0</v>
      </c>
      <c r="F517" s="27">
        <f t="shared" si="136"/>
        <v>0</v>
      </c>
      <c r="G517" s="121">
        <v>0</v>
      </c>
      <c r="H517" s="132">
        <f t="shared" si="137"/>
        <v>0</v>
      </c>
    </row>
    <row r="518" spans="1:8" ht="12">
      <c r="A518" s="78">
        <v>530490</v>
      </c>
      <c r="B518" s="154" t="s">
        <v>9</v>
      </c>
      <c r="C518" s="56">
        <v>0</v>
      </c>
      <c r="D518" s="121">
        <v>0</v>
      </c>
      <c r="E518" s="121">
        <v>0</v>
      </c>
      <c r="F518" s="27">
        <f t="shared" si="136"/>
        <v>0</v>
      </c>
      <c r="G518" s="121">
        <v>0</v>
      </c>
      <c r="H518" s="132">
        <f t="shared" si="137"/>
        <v>0</v>
      </c>
    </row>
    <row r="519" spans="1:8" ht="12">
      <c r="A519" s="78">
        <v>530900</v>
      </c>
      <c r="B519" s="153" t="s">
        <v>380</v>
      </c>
      <c r="C519" s="54">
        <f aca="true" t="shared" si="138" ref="C519:H519">SUM(C520)</f>
        <v>0</v>
      </c>
      <c r="D519" s="118">
        <f t="shared" si="138"/>
        <v>0</v>
      </c>
      <c r="E519" s="118">
        <f t="shared" si="138"/>
        <v>0</v>
      </c>
      <c r="F519" s="118">
        <f t="shared" si="138"/>
        <v>0</v>
      </c>
      <c r="G519" s="118">
        <f t="shared" si="138"/>
        <v>0</v>
      </c>
      <c r="H519" s="119">
        <f t="shared" si="138"/>
        <v>0</v>
      </c>
    </row>
    <row r="520" spans="1:8" ht="12">
      <c r="A520" s="78">
        <v>530902</v>
      </c>
      <c r="B520" s="154" t="s">
        <v>92</v>
      </c>
      <c r="C520" s="56">
        <v>0</v>
      </c>
      <c r="D520" s="121">
        <v>0</v>
      </c>
      <c r="E520" s="121">
        <v>0</v>
      </c>
      <c r="F520" s="27">
        <f t="shared" si="136"/>
        <v>0</v>
      </c>
      <c r="G520" s="121">
        <v>0</v>
      </c>
      <c r="H520" s="132">
        <f t="shared" si="137"/>
        <v>0</v>
      </c>
    </row>
    <row r="521" spans="1:8" ht="24">
      <c r="A521" s="78">
        <v>531200</v>
      </c>
      <c r="B521" s="153" t="s">
        <v>120</v>
      </c>
      <c r="C521" s="54">
        <f aca="true" t="shared" si="139" ref="C521:H521">SUM(C522)</f>
        <v>0</v>
      </c>
      <c r="D521" s="118">
        <f t="shared" si="139"/>
        <v>0</v>
      </c>
      <c r="E521" s="118">
        <f t="shared" si="139"/>
        <v>0</v>
      </c>
      <c r="F521" s="118">
        <f t="shared" si="139"/>
        <v>0</v>
      </c>
      <c r="G521" s="118">
        <f t="shared" si="139"/>
        <v>0</v>
      </c>
      <c r="H521" s="119">
        <f t="shared" si="139"/>
        <v>0</v>
      </c>
    </row>
    <row r="522" spans="1:8" ht="12">
      <c r="A522" s="78">
        <v>531201</v>
      </c>
      <c r="B522" s="154" t="s">
        <v>116</v>
      </c>
      <c r="C522" s="56">
        <v>0</v>
      </c>
      <c r="D522" s="121">
        <v>0</v>
      </c>
      <c r="E522" s="121">
        <v>0</v>
      </c>
      <c r="F522" s="27">
        <f t="shared" si="136"/>
        <v>0</v>
      </c>
      <c r="G522" s="121">
        <v>0</v>
      </c>
      <c r="H522" s="132">
        <f t="shared" si="137"/>
        <v>0</v>
      </c>
    </row>
    <row r="523" spans="1:8" ht="12">
      <c r="A523" s="78">
        <v>531400</v>
      </c>
      <c r="B523" s="153" t="s">
        <v>197</v>
      </c>
      <c r="C523" s="54">
        <f aca="true" t="shared" si="140" ref="C523:H523">SUM(C524)</f>
        <v>1656745636</v>
      </c>
      <c r="D523" s="118">
        <f t="shared" si="140"/>
        <v>0</v>
      </c>
      <c r="E523" s="118">
        <f t="shared" si="140"/>
        <v>1656170804</v>
      </c>
      <c r="F523" s="118">
        <f t="shared" si="140"/>
        <v>574832</v>
      </c>
      <c r="G523" s="118">
        <f t="shared" si="140"/>
        <v>0</v>
      </c>
      <c r="H523" s="119">
        <f t="shared" si="140"/>
        <v>574832</v>
      </c>
    </row>
    <row r="524" spans="1:8" ht="12">
      <c r="A524" s="78">
        <v>531401</v>
      </c>
      <c r="B524" s="154" t="s">
        <v>381</v>
      </c>
      <c r="C524" s="56">
        <v>1656745636</v>
      </c>
      <c r="D524" s="121">
        <v>0</v>
      </c>
      <c r="E524" s="121">
        <v>1656170804</v>
      </c>
      <c r="F524" s="27">
        <f t="shared" si="136"/>
        <v>574832</v>
      </c>
      <c r="G524" s="121">
        <v>0</v>
      </c>
      <c r="H524" s="132">
        <f t="shared" si="137"/>
        <v>574832</v>
      </c>
    </row>
    <row r="525" spans="1:8" ht="24">
      <c r="A525" s="78">
        <v>533000</v>
      </c>
      <c r="B525" s="153" t="s">
        <v>382</v>
      </c>
      <c r="C525" s="54">
        <f aca="true" t="shared" si="141" ref="C525:H525">SUM(C526:C532)</f>
        <v>474813</v>
      </c>
      <c r="D525" s="118">
        <f t="shared" si="141"/>
        <v>545697</v>
      </c>
      <c r="E525" s="118">
        <f t="shared" si="141"/>
        <v>240606</v>
      </c>
      <c r="F525" s="118">
        <f t="shared" si="141"/>
        <v>779904</v>
      </c>
      <c r="G525" s="118">
        <f t="shared" si="141"/>
        <v>0</v>
      </c>
      <c r="H525" s="119">
        <f t="shared" si="141"/>
        <v>779904</v>
      </c>
    </row>
    <row r="526" spans="1:8" ht="12">
      <c r="A526" s="78">
        <v>533001</v>
      </c>
      <c r="B526" s="154" t="s">
        <v>61</v>
      </c>
      <c r="C526" s="56">
        <v>324220</v>
      </c>
      <c r="D526" s="121">
        <v>338271</v>
      </c>
      <c r="E526" s="121">
        <v>238873</v>
      </c>
      <c r="F526" s="27">
        <f>C526+D526-E526</f>
        <v>423618</v>
      </c>
      <c r="G526" s="121">
        <v>0</v>
      </c>
      <c r="H526" s="132">
        <f t="shared" si="137"/>
        <v>423618</v>
      </c>
    </row>
    <row r="527" spans="1:8" ht="12">
      <c r="A527" s="78">
        <v>533004</v>
      </c>
      <c r="B527" s="154" t="s">
        <v>24</v>
      </c>
      <c r="C527" s="56">
        <v>5292</v>
      </c>
      <c r="D527" s="121">
        <f>280+17315+92</f>
        <v>17687</v>
      </c>
      <c r="E527" s="121">
        <v>0</v>
      </c>
      <c r="F527" s="27">
        <f aca="true" t="shared" si="142" ref="F527:F532">C527+D527-E527</f>
        <v>22979</v>
      </c>
      <c r="G527" s="121">
        <v>0</v>
      </c>
      <c r="H527" s="132">
        <f t="shared" si="137"/>
        <v>22979</v>
      </c>
    </row>
    <row r="528" spans="1:8" ht="12">
      <c r="A528" s="78">
        <v>533005</v>
      </c>
      <c r="B528" s="154" t="s">
        <v>383</v>
      </c>
      <c r="C528" s="56">
        <v>3481</v>
      </c>
      <c r="D528" s="121">
        <v>11899</v>
      </c>
      <c r="E528" s="121">
        <v>0</v>
      </c>
      <c r="F528" s="27">
        <f t="shared" si="142"/>
        <v>15380</v>
      </c>
      <c r="G528" s="121">
        <v>0</v>
      </c>
      <c r="H528" s="132">
        <f t="shared" si="137"/>
        <v>15380</v>
      </c>
    </row>
    <row r="529" spans="1:8" ht="12">
      <c r="A529" s="78">
        <v>533006</v>
      </c>
      <c r="B529" s="154" t="s">
        <v>384</v>
      </c>
      <c r="C529" s="56">
        <v>6167</v>
      </c>
      <c r="D529" s="121">
        <f>11602+9264+1165</f>
        <v>22031</v>
      </c>
      <c r="E529" s="121"/>
      <c r="F529" s="27">
        <f t="shared" si="142"/>
        <v>28198</v>
      </c>
      <c r="G529" s="121">
        <v>0</v>
      </c>
      <c r="H529" s="132">
        <f t="shared" si="137"/>
        <v>28198</v>
      </c>
    </row>
    <row r="530" spans="1:8" ht="12">
      <c r="A530" s="78">
        <v>533007</v>
      </c>
      <c r="B530" s="154" t="s">
        <v>126</v>
      </c>
      <c r="C530" s="56">
        <v>117749</v>
      </c>
      <c r="D530" s="121">
        <f>106149+20783+12229</f>
        <v>139161</v>
      </c>
      <c r="E530" s="121"/>
      <c r="F530" s="27">
        <f t="shared" si="142"/>
        <v>256910</v>
      </c>
      <c r="G530" s="121">
        <v>0</v>
      </c>
      <c r="H530" s="132">
        <f t="shared" si="137"/>
        <v>256910</v>
      </c>
    </row>
    <row r="531" spans="1:8" ht="12">
      <c r="A531" s="78">
        <v>533008</v>
      </c>
      <c r="B531" s="154" t="s">
        <v>222</v>
      </c>
      <c r="C531" s="56">
        <v>17904</v>
      </c>
      <c r="D531" s="121">
        <f>16171</f>
        <v>16171</v>
      </c>
      <c r="E531" s="121">
        <v>1733</v>
      </c>
      <c r="F531" s="27">
        <f t="shared" si="142"/>
        <v>32342</v>
      </c>
      <c r="G531" s="121">
        <v>0</v>
      </c>
      <c r="H531" s="132">
        <f t="shared" si="137"/>
        <v>32342</v>
      </c>
    </row>
    <row r="532" spans="1:8" ht="24">
      <c r="A532" s="78">
        <v>533009</v>
      </c>
      <c r="B532" s="154" t="s">
        <v>385</v>
      </c>
      <c r="C532" s="56">
        <v>0</v>
      </c>
      <c r="D532" s="121">
        <v>477</v>
      </c>
      <c r="E532" s="121">
        <v>0</v>
      </c>
      <c r="F532" s="27">
        <f t="shared" si="142"/>
        <v>477</v>
      </c>
      <c r="G532" s="121">
        <v>0</v>
      </c>
      <c r="H532" s="132">
        <f t="shared" si="137"/>
        <v>477</v>
      </c>
    </row>
    <row r="533" spans="1:8" ht="24">
      <c r="A533" s="78">
        <v>534400</v>
      </c>
      <c r="B533" s="153" t="s">
        <v>386</v>
      </c>
      <c r="C533" s="56">
        <f aca="true" t="shared" si="143" ref="C533:H533">SUM(C534)</f>
        <v>0</v>
      </c>
      <c r="D533" s="121">
        <f t="shared" si="143"/>
        <v>0</v>
      </c>
      <c r="E533" s="121">
        <f t="shared" si="143"/>
        <v>0</v>
      </c>
      <c r="F533" s="121">
        <f t="shared" si="143"/>
        <v>0</v>
      </c>
      <c r="G533" s="121">
        <f t="shared" si="143"/>
        <v>0</v>
      </c>
      <c r="H533" s="120">
        <f t="shared" si="143"/>
        <v>0</v>
      </c>
    </row>
    <row r="534" spans="1:8" ht="12">
      <c r="A534" s="78">
        <v>534405</v>
      </c>
      <c r="B534" s="154" t="s">
        <v>87</v>
      </c>
      <c r="C534" s="56">
        <v>0</v>
      </c>
      <c r="D534" s="121">
        <v>0</v>
      </c>
      <c r="E534" s="121">
        <v>0</v>
      </c>
      <c r="F534" s="27">
        <f t="shared" si="136"/>
        <v>0</v>
      </c>
      <c r="G534" s="121">
        <v>0</v>
      </c>
      <c r="H534" s="132">
        <f t="shared" si="137"/>
        <v>0</v>
      </c>
    </row>
    <row r="535" spans="1:8" ht="12">
      <c r="A535" s="78">
        <v>534500</v>
      </c>
      <c r="B535" s="153" t="s">
        <v>387</v>
      </c>
      <c r="C535" s="54">
        <f aca="true" t="shared" si="144" ref="C535:H535">SUM(C536:C537)</f>
        <v>115246</v>
      </c>
      <c r="D535" s="118">
        <f t="shared" si="144"/>
        <v>101812</v>
      </c>
      <c r="E535" s="118">
        <f t="shared" si="144"/>
        <v>0</v>
      </c>
      <c r="F535" s="118">
        <f t="shared" si="144"/>
        <v>217058</v>
      </c>
      <c r="G535" s="118">
        <f t="shared" si="144"/>
        <v>0</v>
      </c>
      <c r="H535" s="119">
        <f t="shared" si="144"/>
        <v>217058</v>
      </c>
    </row>
    <row r="536" spans="1:8" ht="12">
      <c r="A536" s="78">
        <v>534507</v>
      </c>
      <c r="B536" s="154" t="s">
        <v>102</v>
      </c>
      <c r="C536" s="56">
        <v>0</v>
      </c>
      <c r="D536" s="121">
        <v>0</v>
      </c>
      <c r="E536" s="121">
        <v>0</v>
      </c>
      <c r="F536" s="27">
        <f t="shared" si="136"/>
        <v>0</v>
      </c>
      <c r="G536" s="121">
        <v>0</v>
      </c>
      <c r="H536" s="132">
        <f t="shared" si="137"/>
        <v>0</v>
      </c>
    </row>
    <row r="537" spans="1:8" ht="12">
      <c r="A537" s="78">
        <v>534508</v>
      </c>
      <c r="B537" s="154" t="s">
        <v>103</v>
      </c>
      <c r="C537" s="56">
        <v>115246</v>
      </c>
      <c r="D537" s="121">
        <f>101400+412</f>
        <v>101812</v>
      </c>
      <c r="E537" s="121">
        <v>0</v>
      </c>
      <c r="F537" s="27">
        <f t="shared" si="136"/>
        <v>217058</v>
      </c>
      <c r="G537" s="121">
        <v>0</v>
      </c>
      <c r="H537" s="132">
        <f t="shared" si="137"/>
        <v>217058</v>
      </c>
    </row>
    <row r="538" spans="1:8" ht="12">
      <c r="A538" s="78">
        <v>540000</v>
      </c>
      <c r="B538" s="153" t="s">
        <v>388</v>
      </c>
      <c r="C538" s="54">
        <f aca="true" t="shared" si="145" ref="C538:H538">C539+C545+C563+C569+C572+C577+C585</f>
        <v>2813390278</v>
      </c>
      <c r="D538" s="54">
        <f t="shared" si="145"/>
        <v>3287156971</v>
      </c>
      <c r="E538" s="54">
        <f t="shared" si="145"/>
        <v>489282438</v>
      </c>
      <c r="F538" s="54">
        <f t="shared" si="145"/>
        <v>5611264811</v>
      </c>
      <c r="G538" s="54">
        <f t="shared" si="145"/>
        <v>0</v>
      </c>
      <c r="H538" s="55">
        <f t="shared" si="145"/>
        <v>5611264811</v>
      </c>
    </row>
    <row r="539" spans="1:8" ht="24">
      <c r="A539" s="78">
        <v>540100</v>
      </c>
      <c r="B539" s="153" t="s">
        <v>389</v>
      </c>
      <c r="C539" s="54">
        <f aca="true" t="shared" si="146" ref="C539:H539">SUM(C540:C544)</f>
        <v>4369084</v>
      </c>
      <c r="D539" s="118">
        <f t="shared" si="146"/>
        <v>1491800</v>
      </c>
      <c r="E539" s="118">
        <f t="shared" si="146"/>
        <v>356090</v>
      </c>
      <c r="F539" s="118">
        <f t="shared" si="146"/>
        <v>5504794</v>
      </c>
      <c r="G539" s="118">
        <f t="shared" si="146"/>
        <v>0</v>
      </c>
      <c r="H539" s="119">
        <f t="shared" si="146"/>
        <v>5504794</v>
      </c>
    </row>
    <row r="540" spans="1:8" ht="12">
      <c r="A540" s="78">
        <v>540102</v>
      </c>
      <c r="B540" s="154" t="s">
        <v>390</v>
      </c>
      <c r="C540" s="56">
        <v>0</v>
      </c>
      <c r="D540" s="121">
        <v>77090</v>
      </c>
      <c r="E540" s="121">
        <v>77090</v>
      </c>
      <c r="F540" s="27">
        <f t="shared" si="136"/>
        <v>0</v>
      </c>
      <c r="G540" s="121">
        <v>0</v>
      </c>
      <c r="H540" s="132">
        <f aca="true" t="shared" si="147" ref="H540:H586">+F540</f>
        <v>0</v>
      </c>
    </row>
    <row r="541" spans="1:8" ht="24">
      <c r="A541" s="78">
        <v>540103</v>
      </c>
      <c r="B541" s="154" t="s">
        <v>391</v>
      </c>
      <c r="C541" s="56">
        <v>880567</v>
      </c>
      <c r="D541" s="121">
        <v>779000</v>
      </c>
      <c r="E541" s="121">
        <v>279000</v>
      </c>
      <c r="F541" s="27">
        <f t="shared" si="136"/>
        <v>1380567</v>
      </c>
      <c r="G541" s="121">
        <v>0</v>
      </c>
      <c r="H541" s="132">
        <f t="shared" si="147"/>
        <v>1380567</v>
      </c>
    </row>
    <row r="542" spans="1:8" ht="24">
      <c r="A542" s="78">
        <v>540104</v>
      </c>
      <c r="B542" s="154" t="s">
        <v>392</v>
      </c>
      <c r="C542" s="56">
        <v>3488517</v>
      </c>
      <c r="D542" s="121">
        <v>635710</v>
      </c>
      <c r="E542" s="121">
        <v>0</v>
      </c>
      <c r="F542" s="27">
        <f t="shared" si="136"/>
        <v>4124227</v>
      </c>
      <c r="G542" s="121">
        <v>0</v>
      </c>
      <c r="H542" s="132">
        <f t="shared" si="147"/>
        <v>4124227</v>
      </c>
    </row>
    <row r="543" spans="1:8" ht="12">
      <c r="A543" s="78">
        <v>540105</v>
      </c>
      <c r="B543" s="154" t="s">
        <v>393</v>
      </c>
      <c r="C543" s="56">
        <v>0</v>
      </c>
      <c r="D543" s="121">
        <v>0</v>
      </c>
      <c r="E543" s="121">
        <v>0</v>
      </c>
      <c r="F543" s="27">
        <f t="shared" si="136"/>
        <v>0</v>
      </c>
      <c r="G543" s="121">
        <v>0</v>
      </c>
      <c r="H543" s="132">
        <f t="shared" si="147"/>
        <v>0</v>
      </c>
    </row>
    <row r="544" spans="1:8" ht="12">
      <c r="A544" s="78">
        <v>540190</v>
      </c>
      <c r="B544" s="154" t="s">
        <v>394</v>
      </c>
      <c r="C544" s="56">
        <v>0</v>
      </c>
      <c r="D544" s="121">
        <v>0</v>
      </c>
      <c r="E544" s="121">
        <v>0</v>
      </c>
      <c r="F544" s="27">
        <f t="shared" si="136"/>
        <v>0</v>
      </c>
      <c r="G544" s="121">
        <v>0</v>
      </c>
      <c r="H544" s="132">
        <f t="shared" si="147"/>
        <v>0</v>
      </c>
    </row>
    <row r="545" spans="1:8" ht="12">
      <c r="A545" s="78">
        <v>540300</v>
      </c>
      <c r="B545" s="153" t="s">
        <v>395</v>
      </c>
      <c r="C545" s="54">
        <f aca="true" t="shared" si="148" ref="C545:H545">SUM(C546:C562)</f>
        <v>655524132</v>
      </c>
      <c r="D545" s="118">
        <f t="shared" si="148"/>
        <v>1020823204</v>
      </c>
      <c r="E545" s="118">
        <f t="shared" si="148"/>
        <v>405705646</v>
      </c>
      <c r="F545" s="118">
        <f t="shared" si="148"/>
        <v>1270641690</v>
      </c>
      <c r="G545" s="118">
        <f t="shared" si="148"/>
        <v>0</v>
      </c>
      <c r="H545" s="119">
        <f t="shared" si="148"/>
        <v>1270641690</v>
      </c>
    </row>
    <row r="546" spans="1:8" ht="12">
      <c r="A546" s="78">
        <v>540301</v>
      </c>
      <c r="B546" s="154" t="s">
        <v>396</v>
      </c>
      <c r="C546" s="56">
        <v>285091720</v>
      </c>
      <c r="D546" s="121">
        <v>273830895</v>
      </c>
      <c r="E546" s="121">
        <v>40504577</v>
      </c>
      <c r="F546" s="27">
        <f t="shared" si="136"/>
        <v>518418038</v>
      </c>
      <c r="G546" s="121">
        <v>0</v>
      </c>
      <c r="H546" s="132">
        <f t="shared" si="147"/>
        <v>518418038</v>
      </c>
    </row>
    <row r="547" spans="1:8" ht="12">
      <c r="A547" s="78">
        <v>540302</v>
      </c>
      <c r="B547" s="154" t="s">
        <v>397</v>
      </c>
      <c r="C547" s="56">
        <v>0</v>
      </c>
      <c r="D547" s="121">
        <v>0</v>
      </c>
      <c r="E547" s="121">
        <v>0</v>
      </c>
      <c r="F547" s="27">
        <f t="shared" si="136"/>
        <v>0</v>
      </c>
      <c r="G547" s="121">
        <v>0</v>
      </c>
      <c r="H547" s="132">
        <f t="shared" si="147"/>
        <v>0</v>
      </c>
    </row>
    <row r="548" spans="1:8" ht="12">
      <c r="A548" s="78">
        <v>540303</v>
      </c>
      <c r="B548" s="154" t="s">
        <v>398</v>
      </c>
      <c r="C548" s="56">
        <v>0</v>
      </c>
      <c r="D548" s="121">
        <v>0</v>
      </c>
      <c r="E548" s="121">
        <v>0</v>
      </c>
      <c r="F548" s="27">
        <f t="shared" si="136"/>
        <v>0</v>
      </c>
      <c r="G548" s="121">
        <v>0</v>
      </c>
      <c r="H548" s="132">
        <f t="shared" si="147"/>
        <v>0</v>
      </c>
    </row>
    <row r="549" spans="1:8" ht="24">
      <c r="A549" s="78">
        <v>540304</v>
      </c>
      <c r="B549" s="154" t="s">
        <v>399</v>
      </c>
      <c r="C549" s="56">
        <v>214593083</v>
      </c>
      <c r="D549" s="121">
        <v>226494749</v>
      </c>
      <c r="E549" s="121">
        <v>15050496</v>
      </c>
      <c r="F549" s="27">
        <f t="shared" si="136"/>
        <v>426037336</v>
      </c>
      <c r="G549" s="121">
        <v>0</v>
      </c>
      <c r="H549" s="132">
        <f t="shared" si="147"/>
        <v>426037336</v>
      </c>
    </row>
    <row r="550" spans="1:8" ht="24">
      <c r="A550" s="78">
        <v>540305</v>
      </c>
      <c r="B550" s="154" t="s">
        <v>400</v>
      </c>
      <c r="C550" s="56">
        <v>0</v>
      </c>
      <c r="D550" s="121">
        <v>0</v>
      </c>
      <c r="E550" s="121">
        <v>0</v>
      </c>
      <c r="F550" s="27">
        <f t="shared" si="136"/>
        <v>0</v>
      </c>
      <c r="G550" s="121">
        <v>0</v>
      </c>
      <c r="H550" s="132">
        <f t="shared" si="147"/>
        <v>0</v>
      </c>
    </row>
    <row r="551" spans="1:8" ht="24">
      <c r="A551" s="78">
        <v>540306</v>
      </c>
      <c r="B551" s="154" t="s">
        <v>401</v>
      </c>
      <c r="C551" s="56">
        <v>0</v>
      </c>
      <c r="D551" s="121">
        <v>14546805</v>
      </c>
      <c r="E551" s="121">
        <v>14546805</v>
      </c>
      <c r="F551" s="27">
        <f t="shared" si="136"/>
        <v>0</v>
      </c>
      <c r="G551" s="121">
        <v>0</v>
      </c>
      <c r="H551" s="132">
        <f t="shared" si="147"/>
        <v>0</v>
      </c>
    </row>
    <row r="552" spans="1:8" ht="12">
      <c r="A552" s="78">
        <v>540308</v>
      </c>
      <c r="B552" s="154" t="s">
        <v>402</v>
      </c>
      <c r="C552" s="56">
        <v>0</v>
      </c>
      <c r="D552" s="121">
        <v>326154974</v>
      </c>
      <c r="E552" s="121">
        <v>326154974</v>
      </c>
      <c r="F552" s="27">
        <f t="shared" si="136"/>
        <v>0</v>
      </c>
      <c r="G552" s="121">
        <v>0</v>
      </c>
      <c r="H552" s="132">
        <f t="shared" si="147"/>
        <v>0</v>
      </c>
    </row>
    <row r="553" spans="1:8" ht="24">
      <c r="A553" s="78">
        <v>540309</v>
      </c>
      <c r="B553" s="154" t="s">
        <v>403</v>
      </c>
      <c r="C553" s="56">
        <v>0</v>
      </c>
      <c r="D553" s="121">
        <v>0</v>
      </c>
      <c r="E553" s="121">
        <v>0</v>
      </c>
      <c r="F553" s="27">
        <f t="shared" si="136"/>
        <v>0</v>
      </c>
      <c r="G553" s="121">
        <v>0</v>
      </c>
      <c r="H553" s="132">
        <f t="shared" si="147"/>
        <v>0</v>
      </c>
    </row>
    <row r="554" spans="1:8" ht="12">
      <c r="A554" s="78">
        <v>540311</v>
      </c>
      <c r="B554" s="154" t="s">
        <v>404</v>
      </c>
      <c r="C554" s="56">
        <v>153527476</v>
      </c>
      <c r="D554" s="121">
        <v>176916554</v>
      </c>
      <c r="E554" s="121">
        <v>9448794</v>
      </c>
      <c r="F554" s="27">
        <f t="shared" si="136"/>
        <v>320995236</v>
      </c>
      <c r="G554" s="121">
        <v>0</v>
      </c>
      <c r="H554" s="132">
        <f t="shared" si="147"/>
        <v>320995236</v>
      </c>
    </row>
    <row r="555" spans="1:8" ht="24">
      <c r="A555" s="78">
        <v>540312</v>
      </c>
      <c r="B555" s="154" t="s">
        <v>405</v>
      </c>
      <c r="C555" s="56">
        <v>0</v>
      </c>
      <c r="D555" s="121">
        <v>0</v>
      </c>
      <c r="E555" s="121">
        <v>0</v>
      </c>
      <c r="F555" s="27">
        <f t="shared" si="136"/>
        <v>0</v>
      </c>
      <c r="G555" s="121">
        <v>0</v>
      </c>
      <c r="H555" s="132">
        <f t="shared" si="147"/>
        <v>0</v>
      </c>
    </row>
    <row r="556" spans="1:8" ht="24">
      <c r="A556" s="78">
        <v>540313</v>
      </c>
      <c r="B556" s="154" t="s">
        <v>406</v>
      </c>
      <c r="C556" s="56">
        <v>0</v>
      </c>
      <c r="D556" s="121">
        <v>0</v>
      </c>
      <c r="E556" s="121">
        <v>0</v>
      </c>
      <c r="F556" s="27">
        <f t="shared" si="136"/>
        <v>0</v>
      </c>
      <c r="G556" s="121">
        <v>0</v>
      </c>
      <c r="H556" s="132">
        <f t="shared" si="147"/>
        <v>0</v>
      </c>
    </row>
    <row r="557" spans="1:8" ht="12">
      <c r="A557" s="78">
        <v>540315</v>
      </c>
      <c r="B557" s="154" t="s">
        <v>407</v>
      </c>
      <c r="C557" s="56">
        <v>0</v>
      </c>
      <c r="D557" s="121">
        <v>0</v>
      </c>
      <c r="E557" s="121">
        <v>0</v>
      </c>
      <c r="F557" s="27">
        <f t="shared" si="136"/>
        <v>0</v>
      </c>
      <c r="G557" s="121">
        <v>0</v>
      </c>
      <c r="H557" s="132">
        <f t="shared" si="147"/>
        <v>0</v>
      </c>
    </row>
    <row r="558" spans="1:8" ht="24">
      <c r="A558" s="78">
        <v>540318</v>
      </c>
      <c r="B558" s="154" t="s">
        <v>408</v>
      </c>
      <c r="C558" s="56">
        <v>2311853</v>
      </c>
      <c r="D558" s="121">
        <v>2311852</v>
      </c>
      <c r="E558" s="121">
        <v>0</v>
      </c>
      <c r="F558" s="27">
        <f t="shared" si="136"/>
        <v>4623705</v>
      </c>
      <c r="G558" s="121">
        <v>0</v>
      </c>
      <c r="H558" s="132">
        <f t="shared" si="147"/>
        <v>4623705</v>
      </c>
    </row>
    <row r="559" spans="1:8" ht="12">
      <c r="A559" s="78">
        <v>540322</v>
      </c>
      <c r="B559" s="154" t="s">
        <v>409</v>
      </c>
      <c r="C559" s="56">
        <v>0</v>
      </c>
      <c r="D559" s="121">
        <v>0</v>
      </c>
      <c r="E559" s="121">
        <v>0</v>
      </c>
      <c r="F559" s="27">
        <f t="shared" si="136"/>
        <v>0</v>
      </c>
      <c r="G559" s="121">
        <v>0</v>
      </c>
      <c r="H559" s="132">
        <f t="shared" si="147"/>
        <v>0</v>
      </c>
    </row>
    <row r="560" spans="1:8" ht="24">
      <c r="A560" s="78">
        <v>540325</v>
      </c>
      <c r="B560" s="154" t="s">
        <v>410</v>
      </c>
      <c r="C560" s="56">
        <v>0</v>
      </c>
      <c r="D560" s="121">
        <v>0</v>
      </c>
      <c r="E560" s="121">
        <v>0</v>
      </c>
      <c r="F560" s="27">
        <f t="shared" si="136"/>
        <v>0</v>
      </c>
      <c r="G560" s="121">
        <v>0</v>
      </c>
      <c r="H560" s="132">
        <f t="shared" si="147"/>
        <v>0</v>
      </c>
    </row>
    <row r="561" spans="1:8" ht="24">
      <c r="A561" s="78">
        <v>540329</v>
      </c>
      <c r="B561" s="154" t="s">
        <v>411</v>
      </c>
      <c r="C561" s="56">
        <v>0</v>
      </c>
      <c r="D561" s="121">
        <v>567375</v>
      </c>
      <c r="E561" s="121">
        <v>0</v>
      </c>
      <c r="F561" s="27">
        <f t="shared" si="136"/>
        <v>567375</v>
      </c>
      <c r="G561" s="121">
        <v>0</v>
      </c>
      <c r="H561" s="132">
        <f t="shared" si="147"/>
        <v>567375</v>
      </c>
    </row>
    <row r="562" spans="1:8" ht="24">
      <c r="A562" s="78">
        <v>540390</v>
      </c>
      <c r="B562" s="154" t="s">
        <v>412</v>
      </c>
      <c r="C562" s="56">
        <v>0</v>
      </c>
      <c r="D562" s="121">
        <v>0</v>
      </c>
      <c r="E562" s="121">
        <v>0</v>
      </c>
      <c r="F562" s="27">
        <f t="shared" si="136"/>
        <v>0</v>
      </c>
      <c r="G562" s="121">
        <v>0</v>
      </c>
      <c r="H562" s="132">
        <f t="shared" si="147"/>
        <v>0</v>
      </c>
    </row>
    <row r="563" spans="1:8" ht="12">
      <c r="A563" s="78">
        <v>540400</v>
      </c>
      <c r="B563" s="153" t="s">
        <v>413</v>
      </c>
      <c r="C563" s="54">
        <f aca="true" t="shared" si="149" ref="C563:H563">SUM(C564:C568)</f>
        <v>0</v>
      </c>
      <c r="D563" s="118">
        <f t="shared" si="149"/>
        <v>0</v>
      </c>
      <c r="E563" s="118">
        <f t="shared" si="149"/>
        <v>0</v>
      </c>
      <c r="F563" s="118">
        <f t="shared" si="149"/>
        <v>0</v>
      </c>
      <c r="G563" s="118">
        <f t="shared" si="149"/>
        <v>0</v>
      </c>
      <c r="H563" s="119">
        <f t="shared" si="149"/>
        <v>0</v>
      </c>
    </row>
    <row r="564" spans="1:8" ht="12">
      <c r="A564" s="78">
        <v>540401</v>
      </c>
      <c r="B564" s="154" t="s">
        <v>414</v>
      </c>
      <c r="C564" s="56">
        <v>0</v>
      </c>
      <c r="D564" s="121">
        <v>0</v>
      </c>
      <c r="E564" s="121">
        <v>0</v>
      </c>
      <c r="F564" s="27">
        <f t="shared" si="136"/>
        <v>0</v>
      </c>
      <c r="G564" s="121">
        <v>0</v>
      </c>
      <c r="H564" s="132">
        <f t="shared" si="147"/>
        <v>0</v>
      </c>
    </row>
    <row r="565" spans="1:8" ht="12">
      <c r="A565" s="78">
        <v>540402</v>
      </c>
      <c r="B565" s="154" t="s">
        <v>415</v>
      </c>
      <c r="C565" s="56">
        <v>0</v>
      </c>
      <c r="D565" s="121">
        <v>0</v>
      </c>
      <c r="E565" s="121">
        <v>0</v>
      </c>
      <c r="F565" s="27">
        <f t="shared" si="136"/>
        <v>0</v>
      </c>
      <c r="G565" s="121">
        <v>0</v>
      </c>
      <c r="H565" s="132">
        <f t="shared" si="147"/>
        <v>0</v>
      </c>
    </row>
    <row r="566" spans="1:8" ht="12">
      <c r="A566" s="78">
        <v>540403</v>
      </c>
      <c r="B566" s="154" t="s">
        <v>416</v>
      </c>
      <c r="C566" s="56">
        <v>0</v>
      </c>
      <c r="D566" s="121">
        <v>0</v>
      </c>
      <c r="E566" s="121">
        <v>0</v>
      </c>
      <c r="F566" s="27">
        <f t="shared" si="136"/>
        <v>0</v>
      </c>
      <c r="G566" s="121">
        <v>0</v>
      </c>
      <c r="H566" s="132">
        <f t="shared" si="147"/>
        <v>0</v>
      </c>
    </row>
    <row r="567" spans="1:8" ht="12">
      <c r="A567" s="78">
        <v>540404</v>
      </c>
      <c r="B567" s="154" t="s">
        <v>417</v>
      </c>
      <c r="C567" s="56">
        <v>0</v>
      </c>
      <c r="D567" s="121">
        <v>0</v>
      </c>
      <c r="E567" s="121">
        <v>0</v>
      </c>
      <c r="F567" s="27">
        <f t="shared" si="136"/>
        <v>0</v>
      </c>
      <c r="G567" s="121">
        <v>0</v>
      </c>
      <c r="H567" s="132">
        <f t="shared" si="147"/>
        <v>0</v>
      </c>
    </row>
    <row r="568" spans="1:8" ht="24">
      <c r="A568" s="78">
        <v>540490</v>
      </c>
      <c r="B568" s="154" t="s">
        <v>418</v>
      </c>
      <c r="C568" s="56">
        <v>0</v>
      </c>
      <c r="D568" s="121">
        <v>0</v>
      </c>
      <c r="E568" s="121">
        <v>0</v>
      </c>
      <c r="F568" s="27">
        <f t="shared" si="136"/>
        <v>0</v>
      </c>
      <c r="G568" s="121">
        <v>0</v>
      </c>
      <c r="H568" s="132">
        <f t="shared" si="147"/>
        <v>0</v>
      </c>
    </row>
    <row r="569" spans="1:8" ht="12">
      <c r="A569" s="78">
        <v>540700</v>
      </c>
      <c r="B569" s="153" t="s">
        <v>419</v>
      </c>
      <c r="C569" s="54">
        <f aca="true" t="shared" si="150" ref="C569:H569">SUM(C570:C571)</f>
        <v>0</v>
      </c>
      <c r="D569" s="118">
        <f t="shared" si="150"/>
        <v>0</v>
      </c>
      <c r="E569" s="118">
        <f t="shared" si="150"/>
        <v>0</v>
      </c>
      <c r="F569" s="118">
        <f t="shared" si="150"/>
        <v>0</v>
      </c>
      <c r="G569" s="118">
        <f t="shared" si="150"/>
        <v>0</v>
      </c>
      <c r="H569" s="119">
        <f t="shared" si="150"/>
        <v>0</v>
      </c>
    </row>
    <row r="570" spans="1:8" ht="12">
      <c r="A570" s="78">
        <v>540705</v>
      </c>
      <c r="B570" s="154" t="s">
        <v>420</v>
      </c>
      <c r="C570" s="56">
        <v>0</v>
      </c>
      <c r="D570" s="121">
        <v>0</v>
      </c>
      <c r="E570" s="121">
        <v>0</v>
      </c>
      <c r="F570" s="27">
        <f t="shared" si="136"/>
        <v>0</v>
      </c>
      <c r="G570" s="121">
        <v>0</v>
      </c>
      <c r="H570" s="132">
        <f t="shared" si="147"/>
        <v>0</v>
      </c>
    </row>
    <row r="571" spans="1:8" ht="12">
      <c r="A571" s="78">
        <v>540706</v>
      </c>
      <c r="B571" s="154" t="s">
        <v>421</v>
      </c>
      <c r="C571" s="56">
        <v>0</v>
      </c>
      <c r="D571" s="121">
        <v>0</v>
      </c>
      <c r="E571" s="121">
        <v>0</v>
      </c>
      <c r="F571" s="27">
        <f t="shared" si="136"/>
        <v>0</v>
      </c>
      <c r="G571" s="121">
        <v>0</v>
      </c>
      <c r="H571" s="132">
        <f t="shared" si="147"/>
        <v>0</v>
      </c>
    </row>
    <row r="572" spans="1:8" ht="12">
      <c r="A572" s="78">
        <v>540800</v>
      </c>
      <c r="B572" s="153" t="s">
        <v>422</v>
      </c>
      <c r="C572" s="54">
        <f aca="true" t="shared" si="151" ref="C572:H572">SUM(C573:C576)</f>
        <v>2153497062</v>
      </c>
      <c r="D572" s="118">
        <f t="shared" si="151"/>
        <v>2264206257</v>
      </c>
      <c r="E572" s="118">
        <f t="shared" si="151"/>
        <v>82584992</v>
      </c>
      <c r="F572" s="118">
        <f t="shared" si="151"/>
        <v>4335118327</v>
      </c>
      <c r="G572" s="118">
        <f t="shared" si="151"/>
        <v>0</v>
      </c>
      <c r="H572" s="119">
        <f t="shared" si="151"/>
        <v>4335118327</v>
      </c>
    </row>
    <row r="573" spans="1:8" ht="12">
      <c r="A573" s="78">
        <v>540802</v>
      </c>
      <c r="B573" s="154" t="s">
        <v>423</v>
      </c>
      <c r="C573" s="56">
        <v>1146291138</v>
      </c>
      <c r="D573" s="121">
        <v>1212375783</v>
      </c>
      <c r="E573" s="121">
        <v>41292496</v>
      </c>
      <c r="F573" s="27">
        <f aca="true" t="shared" si="152" ref="F573:F636">+C573+D573-E573</f>
        <v>2317374425</v>
      </c>
      <c r="G573" s="121">
        <v>0</v>
      </c>
      <c r="H573" s="132">
        <f t="shared" si="147"/>
        <v>2317374425</v>
      </c>
    </row>
    <row r="574" spans="1:8" ht="12">
      <c r="A574" s="78">
        <v>540806</v>
      </c>
      <c r="B574" s="154" t="s">
        <v>424</v>
      </c>
      <c r="C574" s="56">
        <v>687892057</v>
      </c>
      <c r="D574" s="121">
        <v>729877730</v>
      </c>
      <c r="E574" s="121">
        <v>41292496</v>
      </c>
      <c r="F574" s="27">
        <f t="shared" si="152"/>
        <v>1376477291</v>
      </c>
      <c r="G574" s="121">
        <v>0</v>
      </c>
      <c r="H574" s="132">
        <f t="shared" si="147"/>
        <v>1376477291</v>
      </c>
    </row>
    <row r="575" spans="1:8" ht="12">
      <c r="A575" s="78">
        <v>540812</v>
      </c>
      <c r="B575" s="154" t="s">
        <v>425</v>
      </c>
      <c r="C575" s="56">
        <v>319313867</v>
      </c>
      <c r="D575" s="121">
        <v>321952744</v>
      </c>
      <c r="E575" s="121">
        <v>0</v>
      </c>
      <c r="F575" s="27">
        <f t="shared" si="152"/>
        <v>641266611</v>
      </c>
      <c r="G575" s="121">
        <v>0</v>
      </c>
      <c r="H575" s="132">
        <f t="shared" si="147"/>
        <v>641266611</v>
      </c>
    </row>
    <row r="576" spans="1:8" ht="12">
      <c r="A576" s="78">
        <v>540816</v>
      </c>
      <c r="B576" s="154" t="s">
        <v>426</v>
      </c>
      <c r="C576" s="56">
        <v>0</v>
      </c>
      <c r="D576" s="121">
        <v>0</v>
      </c>
      <c r="E576" s="121">
        <v>0</v>
      </c>
      <c r="F576" s="27">
        <f t="shared" si="152"/>
        <v>0</v>
      </c>
      <c r="G576" s="121">
        <v>0</v>
      </c>
      <c r="H576" s="132">
        <f t="shared" si="147"/>
        <v>0</v>
      </c>
    </row>
    <row r="577" spans="1:8" ht="12">
      <c r="A577" s="78">
        <v>541100</v>
      </c>
      <c r="B577" s="153" t="s">
        <v>427</v>
      </c>
      <c r="C577" s="54">
        <f aca="true" t="shared" si="153" ref="C577:H577">SUM(C578:C584)</f>
        <v>0</v>
      </c>
      <c r="D577" s="118">
        <f t="shared" si="153"/>
        <v>0</v>
      </c>
      <c r="E577" s="118">
        <f t="shared" si="153"/>
        <v>0</v>
      </c>
      <c r="F577" s="118">
        <f t="shared" si="153"/>
        <v>0</v>
      </c>
      <c r="G577" s="118">
        <f t="shared" si="153"/>
        <v>0</v>
      </c>
      <c r="H577" s="119">
        <f t="shared" si="153"/>
        <v>0</v>
      </c>
    </row>
    <row r="578" spans="1:8" ht="12">
      <c r="A578" s="78">
        <v>541101</v>
      </c>
      <c r="B578" s="154" t="s">
        <v>396</v>
      </c>
      <c r="C578" s="56">
        <v>0</v>
      </c>
      <c r="D578" s="121">
        <v>0</v>
      </c>
      <c r="E578" s="121">
        <v>0</v>
      </c>
      <c r="F578" s="27">
        <f t="shared" si="152"/>
        <v>0</v>
      </c>
      <c r="G578" s="121">
        <v>0</v>
      </c>
      <c r="H578" s="132">
        <f t="shared" si="147"/>
        <v>0</v>
      </c>
    </row>
    <row r="579" spans="1:8" ht="24">
      <c r="A579" s="78">
        <v>541104</v>
      </c>
      <c r="B579" s="154" t="s">
        <v>428</v>
      </c>
      <c r="C579" s="56">
        <v>0</v>
      </c>
      <c r="D579" s="121">
        <v>0</v>
      </c>
      <c r="E579" s="121">
        <v>0</v>
      </c>
      <c r="F579" s="27">
        <f t="shared" si="152"/>
        <v>0</v>
      </c>
      <c r="G579" s="121">
        <v>0</v>
      </c>
      <c r="H579" s="132">
        <f t="shared" si="147"/>
        <v>0</v>
      </c>
    </row>
    <row r="580" spans="1:8" ht="12">
      <c r="A580" s="78">
        <v>541106</v>
      </c>
      <c r="B580" s="154" t="s">
        <v>429</v>
      </c>
      <c r="C580" s="56">
        <v>0</v>
      </c>
      <c r="D580" s="121">
        <v>0</v>
      </c>
      <c r="E580" s="121">
        <v>0</v>
      </c>
      <c r="F580" s="27">
        <f t="shared" si="152"/>
        <v>0</v>
      </c>
      <c r="G580" s="121">
        <v>0</v>
      </c>
      <c r="H580" s="132">
        <f t="shared" si="147"/>
        <v>0</v>
      </c>
    </row>
    <row r="581" spans="1:8" ht="12">
      <c r="A581" s="78">
        <v>541108</v>
      </c>
      <c r="B581" s="154" t="s">
        <v>402</v>
      </c>
      <c r="C581" s="56">
        <v>0</v>
      </c>
      <c r="D581" s="121">
        <v>0</v>
      </c>
      <c r="E581" s="121">
        <v>0</v>
      </c>
      <c r="F581" s="27">
        <f t="shared" si="152"/>
        <v>0</v>
      </c>
      <c r="G581" s="121">
        <v>0</v>
      </c>
      <c r="H581" s="132">
        <f t="shared" si="147"/>
        <v>0</v>
      </c>
    </row>
    <row r="582" spans="1:8" ht="12">
      <c r="A582" s="78">
        <v>541111</v>
      </c>
      <c r="B582" s="154" t="s">
        <v>404</v>
      </c>
      <c r="C582" s="56">
        <v>0</v>
      </c>
      <c r="D582" s="121">
        <v>0</v>
      </c>
      <c r="E582" s="121">
        <v>0</v>
      </c>
      <c r="F582" s="27">
        <f t="shared" si="152"/>
        <v>0</v>
      </c>
      <c r="G582" s="121">
        <v>0</v>
      </c>
      <c r="H582" s="132">
        <f t="shared" si="147"/>
        <v>0</v>
      </c>
    </row>
    <row r="583" spans="1:8" ht="12">
      <c r="A583" s="78">
        <v>541115</v>
      </c>
      <c r="B583" s="154" t="s">
        <v>407</v>
      </c>
      <c r="C583" s="56">
        <v>0</v>
      </c>
      <c r="D583" s="121">
        <v>0</v>
      </c>
      <c r="E583" s="121">
        <v>0</v>
      </c>
      <c r="F583" s="27">
        <f t="shared" si="152"/>
        <v>0</v>
      </c>
      <c r="G583" s="121">
        <v>0</v>
      </c>
      <c r="H583" s="132">
        <f t="shared" si="147"/>
        <v>0</v>
      </c>
    </row>
    <row r="584" spans="1:8" ht="12">
      <c r="A584" s="78">
        <v>541122</v>
      </c>
      <c r="B584" s="154" t="s">
        <v>430</v>
      </c>
      <c r="C584" s="56">
        <v>0</v>
      </c>
      <c r="D584" s="121">
        <v>0</v>
      </c>
      <c r="E584" s="121">
        <v>0</v>
      </c>
      <c r="F584" s="27">
        <f t="shared" si="152"/>
        <v>0</v>
      </c>
      <c r="G584" s="121">
        <v>0</v>
      </c>
      <c r="H584" s="132">
        <f t="shared" si="147"/>
        <v>0</v>
      </c>
    </row>
    <row r="585" spans="1:8" ht="12">
      <c r="A585" s="78">
        <v>541700</v>
      </c>
      <c r="B585" s="153" t="s">
        <v>431</v>
      </c>
      <c r="C585" s="54">
        <f aca="true" t="shared" si="154" ref="C585:H585">SUM(C586)</f>
        <v>0</v>
      </c>
      <c r="D585" s="118">
        <f t="shared" si="154"/>
        <v>635710</v>
      </c>
      <c r="E585" s="118">
        <f t="shared" si="154"/>
        <v>635710</v>
      </c>
      <c r="F585" s="118">
        <f t="shared" si="154"/>
        <v>0</v>
      </c>
      <c r="G585" s="118">
        <f t="shared" si="154"/>
        <v>0</v>
      </c>
      <c r="H585" s="119">
        <f t="shared" si="154"/>
        <v>0</v>
      </c>
    </row>
    <row r="586" spans="1:8" ht="12">
      <c r="A586" s="78">
        <v>541702</v>
      </c>
      <c r="B586" s="154" t="s">
        <v>432</v>
      </c>
      <c r="C586" s="56">
        <v>0</v>
      </c>
      <c r="D586" s="121">
        <v>635710</v>
      </c>
      <c r="E586" s="121">
        <v>635710</v>
      </c>
      <c r="F586" s="27">
        <f t="shared" si="152"/>
        <v>0</v>
      </c>
      <c r="G586" s="121">
        <v>0</v>
      </c>
      <c r="H586" s="132">
        <f t="shared" si="147"/>
        <v>0</v>
      </c>
    </row>
    <row r="587" spans="1:8" ht="12">
      <c r="A587" s="78">
        <v>550000</v>
      </c>
      <c r="B587" s="153" t="s">
        <v>433</v>
      </c>
      <c r="C587" s="54">
        <f aca="true" t="shared" si="155" ref="C587:H587">C588+C590</f>
        <v>0</v>
      </c>
      <c r="D587" s="54">
        <f t="shared" si="155"/>
        <v>0</v>
      </c>
      <c r="E587" s="54">
        <f t="shared" si="155"/>
        <v>0</v>
      </c>
      <c r="F587" s="54">
        <f t="shared" si="155"/>
        <v>0</v>
      </c>
      <c r="G587" s="54">
        <f t="shared" si="155"/>
        <v>0</v>
      </c>
      <c r="H587" s="55">
        <f t="shared" si="155"/>
        <v>0</v>
      </c>
    </row>
    <row r="588" spans="1:8" ht="12">
      <c r="A588" s="78">
        <v>550100</v>
      </c>
      <c r="B588" s="153" t="s">
        <v>434</v>
      </c>
      <c r="C588" s="54">
        <f aca="true" t="shared" si="156" ref="C588:H588">SUM(C589)</f>
        <v>0</v>
      </c>
      <c r="D588" s="118">
        <f t="shared" si="156"/>
        <v>0</v>
      </c>
      <c r="E588" s="118">
        <f t="shared" si="156"/>
        <v>0</v>
      </c>
      <c r="F588" s="118">
        <f t="shared" si="156"/>
        <v>0</v>
      </c>
      <c r="G588" s="118">
        <f t="shared" si="156"/>
        <v>0</v>
      </c>
      <c r="H588" s="119">
        <f t="shared" si="156"/>
        <v>0</v>
      </c>
    </row>
    <row r="589" spans="1:8" ht="12">
      <c r="A589" s="78">
        <v>550106</v>
      </c>
      <c r="B589" s="154" t="s">
        <v>435</v>
      </c>
      <c r="C589" s="56">
        <v>0</v>
      </c>
      <c r="D589" s="121">
        <v>0</v>
      </c>
      <c r="E589" s="121">
        <v>0</v>
      </c>
      <c r="F589" s="27">
        <f t="shared" si="152"/>
        <v>0</v>
      </c>
      <c r="G589" s="121">
        <v>0</v>
      </c>
      <c r="H589" s="132">
        <f>+F589</f>
        <v>0</v>
      </c>
    </row>
    <row r="590" spans="1:8" ht="12">
      <c r="A590" s="78">
        <v>555000</v>
      </c>
      <c r="B590" s="153" t="s">
        <v>163</v>
      </c>
      <c r="C590" s="54">
        <f aca="true" t="shared" si="157" ref="C590:H590">SUM(C591)</f>
        <v>0</v>
      </c>
      <c r="D590" s="118">
        <f t="shared" si="157"/>
        <v>0</v>
      </c>
      <c r="E590" s="118">
        <f t="shared" si="157"/>
        <v>0</v>
      </c>
      <c r="F590" s="118">
        <f t="shared" si="157"/>
        <v>0</v>
      </c>
      <c r="G590" s="118">
        <f t="shared" si="157"/>
        <v>0</v>
      </c>
      <c r="H590" s="119">
        <f t="shared" si="157"/>
        <v>0</v>
      </c>
    </row>
    <row r="591" spans="1:8" ht="12">
      <c r="A591" s="78">
        <v>555002</v>
      </c>
      <c r="B591" s="147" t="s">
        <v>436</v>
      </c>
      <c r="C591" s="56">
        <v>0</v>
      </c>
      <c r="D591" s="116">
        <v>0</v>
      </c>
      <c r="E591" s="116">
        <v>0</v>
      </c>
      <c r="F591" s="27">
        <f t="shared" si="152"/>
        <v>0</v>
      </c>
      <c r="G591" s="116">
        <v>0</v>
      </c>
      <c r="H591" s="132">
        <f>+F591</f>
        <v>0</v>
      </c>
    </row>
    <row r="592" spans="1:8" ht="12">
      <c r="A592" s="78">
        <v>560000</v>
      </c>
      <c r="B592" s="153" t="s">
        <v>437</v>
      </c>
      <c r="C592" s="54">
        <f aca="true" t="shared" si="158" ref="C592:H592">C593+C595+C598</f>
        <v>12721209</v>
      </c>
      <c r="D592" s="54">
        <f t="shared" si="158"/>
        <v>38808211</v>
      </c>
      <c r="E592" s="54">
        <f t="shared" si="158"/>
        <v>8818409</v>
      </c>
      <c r="F592" s="54">
        <f t="shared" si="158"/>
        <v>42711011</v>
      </c>
      <c r="G592" s="54">
        <f t="shared" si="158"/>
        <v>0</v>
      </c>
      <c r="H592" s="55">
        <f t="shared" si="158"/>
        <v>42711011</v>
      </c>
    </row>
    <row r="593" spans="1:8" ht="12">
      <c r="A593" s="78">
        <v>560100</v>
      </c>
      <c r="B593" s="153" t="s">
        <v>438</v>
      </c>
      <c r="C593" s="54">
        <f aca="true" t="shared" si="159" ref="C593:H593">SUM(C594)</f>
        <v>0</v>
      </c>
      <c r="D593" s="118">
        <f t="shared" si="159"/>
        <v>0</v>
      </c>
      <c r="E593" s="118">
        <f t="shared" si="159"/>
        <v>0</v>
      </c>
      <c r="F593" s="118">
        <f t="shared" si="159"/>
        <v>0</v>
      </c>
      <c r="G593" s="118">
        <f t="shared" si="159"/>
        <v>0</v>
      </c>
      <c r="H593" s="119">
        <f t="shared" si="159"/>
        <v>0</v>
      </c>
    </row>
    <row r="594" spans="1:8" ht="12">
      <c r="A594" s="78">
        <v>560101</v>
      </c>
      <c r="B594" s="154" t="s">
        <v>439</v>
      </c>
      <c r="C594" s="56">
        <v>0</v>
      </c>
      <c r="D594" s="116">
        <v>0</v>
      </c>
      <c r="E594" s="116">
        <v>0</v>
      </c>
      <c r="F594" s="27">
        <f t="shared" si="152"/>
        <v>0</v>
      </c>
      <c r="G594" s="116">
        <v>0</v>
      </c>
      <c r="H594" s="132">
        <f>+F594</f>
        <v>0</v>
      </c>
    </row>
    <row r="595" spans="1:8" ht="12">
      <c r="A595" s="78">
        <v>560200</v>
      </c>
      <c r="B595" s="153" t="s">
        <v>586</v>
      </c>
      <c r="C595" s="54">
        <f aca="true" t="shared" si="160" ref="C595:H595">SUM(C596:C597)</f>
        <v>12636039</v>
      </c>
      <c r="D595" s="118">
        <f t="shared" si="160"/>
        <v>28662791</v>
      </c>
      <c r="E595" s="118">
        <f t="shared" si="160"/>
        <v>20037</v>
      </c>
      <c r="F595" s="118">
        <f t="shared" si="160"/>
        <v>41278793</v>
      </c>
      <c r="G595" s="118">
        <f t="shared" si="160"/>
        <v>0</v>
      </c>
      <c r="H595" s="119">
        <f t="shared" si="160"/>
        <v>41278793</v>
      </c>
    </row>
    <row r="596" spans="1:8" ht="12">
      <c r="A596" s="78">
        <v>560205</v>
      </c>
      <c r="B596" s="154" t="s">
        <v>441</v>
      </c>
      <c r="C596" s="56">
        <v>12636039</v>
      </c>
      <c r="D596" s="116">
        <v>28662791</v>
      </c>
      <c r="E596" s="116">
        <v>20037</v>
      </c>
      <c r="F596" s="27">
        <f>C596+D596-E596</f>
        <v>41278793</v>
      </c>
      <c r="G596" s="116">
        <v>0</v>
      </c>
      <c r="H596" s="132">
        <f>+F596</f>
        <v>41278793</v>
      </c>
    </row>
    <row r="597" spans="1:8" ht="12">
      <c r="A597" s="78">
        <v>560206</v>
      </c>
      <c r="B597" s="147" t="s">
        <v>435</v>
      </c>
      <c r="C597" s="56">
        <v>0</v>
      </c>
      <c r="D597" s="116">
        <v>0</v>
      </c>
      <c r="E597" s="116">
        <v>0</v>
      </c>
      <c r="F597" s="27">
        <f t="shared" si="152"/>
        <v>0</v>
      </c>
      <c r="G597" s="116">
        <v>0</v>
      </c>
      <c r="H597" s="132">
        <f>+F597</f>
        <v>0</v>
      </c>
    </row>
    <row r="598" spans="1:8" ht="12">
      <c r="A598" s="78">
        <v>560600</v>
      </c>
      <c r="B598" s="153" t="s">
        <v>442</v>
      </c>
      <c r="C598" s="54">
        <f aca="true" t="shared" si="161" ref="C598:H598">SUM(C599:C600)</f>
        <v>85170</v>
      </c>
      <c r="D598" s="118">
        <f t="shared" si="161"/>
        <v>10145420</v>
      </c>
      <c r="E598" s="118">
        <f t="shared" si="161"/>
        <v>8798372</v>
      </c>
      <c r="F598" s="118">
        <f t="shared" si="161"/>
        <v>1432218</v>
      </c>
      <c r="G598" s="118">
        <f t="shared" si="161"/>
        <v>0</v>
      </c>
      <c r="H598" s="119">
        <f t="shared" si="161"/>
        <v>1432218</v>
      </c>
    </row>
    <row r="599" spans="1:8" ht="12">
      <c r="A599" s="78">
        <v>560601</v>
      </c>
      <c r="B599" s="80" t="s">
        <v>439</v>
      </c>
      <c r="C599" s="56">
        <v>0</v>
      </c>
      <c r="D599" s="116">
        <v>2900</v>
      </c>
      <c r="E599" s="116">
        <v>0</v>
      </c>
      <c r="F599" s="27">
        <f t="shared" si="152"/>
        <v>2900</v>
      </c>
      <c r="G599" s="114">
        <v>0</v>
      </c>
      <c r="H599" s="132">
        <f>+F599</f>
        <v>2900</v>
      </c>
    </row>
    <row r="600" spans="1:8" ht="12">
      <c r="A600" s="78">
        <v>560605</v>
      </c>
      <c r="B600" s="154" t="s">
        <v>441</v>
      </c>
      <c r="C600" s="56">
        <v>85170</v>
      </c>
      <c r="D600" s="116">
        <v>10142520</v>
      </c>
      <c r="E600" s="116">
        <v>8798372</v>
      </c>
      <c r="F600" s="27">
        <f t="shared" si="152"/>
        <v>1429318</v>
      </c>
      <c r="G600" s="116">
        <v>0</v>
      </c>
      <c r="H600" s="132">
        <f>+F600</f>
        <v>1429318</v>
      </c>
    </row>
    <row r="601" spans="1:8" ht="13.5" customHeight="1">
      <c r="A601" s="78">
        <v>570000</v>
      </c>
      <c r="B601" s="153" t="s">
        <v>260</v>
      </c>
      <c r="C601" s="54">
        <f aca="true" t="shared" si="162" ref="C601:H601">C602+C609+C611</f>
        <v>58789</v>
      </c>
      <c r="D601" s="54">
        <f t="shared" si="162"/>
        <v>26133745</v>
      </c>
      <c r="E601" s="54">
        <f t="shared" si="162"/>
        <v>0</v>
      </c>
      <c r="F601" s="54">
        <f t="shared" si="162"/>
        <v>26192534</v>
      </c>
      <c r="G601" s="54">
        <f t="shared" si="162"/>
        <v>0</v>
      </c>
      <c r="H601" s="55">
        <f t="shared" si="162"/>
        <v>26192534</v>
      </c>
    </row>
    <row r="602" spans="1:8" ht="24">
      <c r="A602" s="78">
        <v>570500</v>
      </c>
      <c r="B602" s="153" t="s">
        <v>443</v>
      </c>
      <c r="C602" s="54">
        <f aca="true" t="shared" si="163" ref="C602:H602">SUM(C603:C608)</f>
        <v>0</v>
      </c>
      <c r="D602" s="118">
        <f t="shared" si="163"/>
        <v>0</v>
      </c>
      <c r="E602" s="118">
        <f t="shared" si="163"/>
        <v>0</v>
      </c>
      <c r="F602" s="118">
        <f t="shared" si="163"/>
        <v>0</v>
      </c>
      <c r="G602" s="118">
        <f t="shared" si="163"/>
        <v>0</v>
      </c>
      <c r="H602" s="119">
        <f t="shared" si="163"/>
        <v>0</v>
      </c>
    </row>
    <row r="603" spans="1:8" ht="12">
      <c r="A603" s="78">
        <v>570501</v>
      </c>
      <c r="B603" s="154" t="s">
        <v>444</v>
      </c>
      <c r="C603" s="56">
        <v>0</v>
      </c>
      <c r="D603" s="121">
        <v>0</v>
      </c>
      <c r="E603" s="121">
        <v>0</v>
      </c>
      <c r="F603" s="27">
        <f t="shared" si="152"/>
        <v>0</v>
      </c>
      <c r="G603" s="121">
        <v>0</v>
      </c>
      <c r="H603" s="132">
        <f aca="true" t="shared" si="164" ref="H603:H614">+F603</f>
        <v>0</v>
      </c>
    </row>
    <row r="604" spans="1:8" ht="12">
      <c r="A604" s="78">
        <v>570502</v>
      </c>
      <c r="B604" s="154" t="s">
        <v>263</v>
      </c>
      <c r="C604" s="56">
        <v>0</v>
      </c>
      <c r="D604" s="121">
        <v>0</v>
      </c>
      <c r="E604" s="121">
        <v>0</v>
      </c>
      <c r="F604" s="27">
        <f t="shared" si="152"/>
        <v>0</v>
      </c>
      <c r="G604" s="121">
        <v>0</v>
      </c>
      <c r="H604" s="132">
        <f t="shared" si="164"/>
        <v>0</v>
      </c>
    </row>
    <row r="605" spans="1:8" ht="12">
      <c r="A605" s="78">
        <v>570503</v>
      </c>
      <c r="B605" s="154" t="s">
        <v>445</v>
      </c>
      <c r="C605" s="56">
        <v>0</v>
      </c>
      <c r="D605" s="121">
        <v>0</v>
      </c>
      <c r="E605" s="121">
        <v>0</v>
      </c>
      <c r="F605" s="27">
        <f t="shared" si="152"/>
        <v>0</v>
      </c>
      <c r="G605" s="121">
        <v>0</v>
      </c>
      <c r="H605" s="132">
        <f t="shared" si="164"/>
        <v>0</v>
      </c>
    </row>
    <row r="606" spans="1:8" ht="12">
      <c r="A606" s="78">
        <v>570505</v>
      </c>
      <c r="B606" s="154" t="s">
        <v>264</v>
      </c>
      <c r="C606" s="56">
        <v>0</v>
      </c>
      <c r="D606" s="121">
        <v>0</v>
      </c>
      <c r="E606" s="121">
        <v>0</v>
      </c>
      <c r="F606" s="27">
        <f t="shared" si="152"/>
        <v>0</v>
      </c>
      <c r="G606" s="121">
        <v>0</v>
      </c>
      <c r="H606" s="132">
        <f t="shared" si="164"/>
        <v>0</v>
      </c>
    </row>
    <row r="607" spans="1:8" ht="12">
      <c r="A607" s="78">
        <v>570506</v>
      </c>
      <c r="B607" s="154" t="s">
        <v>446</v>
      </c>
      <c r="C607" s="56">
        <v>0</v>
      </c>
      <c r="D607" s="121">
        <v>0</v>
      </c>
      <c r="E607" s="121">
        <v>0</v>
      </c>
      <c r="F607" s="27">
        <f t="shared" si="152"/>
        <v>0</v>
      </c>
      <c r="G607" s="121">
        <v>0</v>
      </c>
      <c r="H607" s="132">
        <f t="shared" si="164"/>
        <v>0</v>
      </c>
    </row>
    <row r="608" spans="1:8" ht="12">
      <c r="A608" s="78">
        <v>570590</v>
      </c>
      <c r="B608" s="154" t="s">
        <v>447</v>
      </c>
      <c r="C608" s="56">
        <v>0</v>
      </c>
      <c r="D608" s="121">
        <v>0</v>
      </c>
      <c r="E608" s="121">
        <v>0</v>
      </c>
      <c r="F608" s="27">
        <f t="shared" si="152"/>
        <v>0</v>
      </c>
      <c r="G608" s="121">
        <v>0</v>
      </c>
      <c r="H608" s="132">
        <f t="shared" si="164"/>
        <v>0</v>
      </c>
    </row>
    <row r="609" spans="1:8" ht="24">
      <c r="A609" s="78">
        <v>572000</v>
      </c>
      <c r="B609" s="153" t="s">
        <v>448</v>
      </c>
      <c r="C609" s="54">
        <f aca="true" t="shared" si="165" ref="C609:H609">SUM(C610)</f>
        <v>58789</v>
      </c>
      <c r="D609" s="118">
        <f t="shared" si="165"/>
        <v>26133745</v>
      </c>
      <c r="E609" s="118">
        <f t="shared" si="165"/>
        <v>0</v>
      </c>
      <c r="F609" s="118">
        <f t="shared" si="165"/>
        <v>26192534</v>
      </c>
      <c r="G609" s="118">
        <f t="shared" si="165"/>
        <v>0</v>
      </c>
      <c r="H609" s="119">
        <f t="shared" si="165"/>
        <v>26192534</v>
      </c>
    </row>
    <row r="610" spans="1:8" ht="12">
      <c r="A610" s="78">
        <v>572080</v>
      </c>
      <c r="B610" s="154" t="s">
        <v>449</v>
      </c>
      <c r="C610" s="56">
        <v>58789</v>
      </c>
      <c r="D610" s="121">
        <v>26133745</v>
      </c>
      <c r="E610" s="121">
        <v>0</v>
      </c>
      <c r="F610" s="27">
        <f t="shared" si="152"/>
        <v>26192534</v>
      </c>
      <c r="G610" s="121">
        <v>0</v>
      </c>
      <c r="H610" s="132">
        <f t="shared" si="164"/>
        <v>26192534</v>
      </c>
    </row>
    <row r="611" spans="1:8" ht="24">
      <c r="A611" s="78">
        <v>572200</v>
      </c>
      <c r="B611" s="153" t="s">
        <v>450</v>
      </c>
      <c r="C611" s="54">
        <f aca="true" t="shared" si="166" ref="C611:H611">SUM(C612:C614)</f>
        <v>0</v>
      </c>
      <c r="D611" s="118">
        <f t="shared" si="166"/>
        <v>0</v>
      </c>
      <c r="E611" s="118">
        <f t="shared" si="166"/>
        <v>0</v>
      </c>
      <c r="F611" s="118">
        <f t="shared" si="166"/>
        <v>0</v>
      </c>
      <c r="G611" s="118">
        <f t="shared" si="166"/>
        <v>0</v>
      </c>
      <c r="H611" s="119">
        <f t="shared" si="166"/>
        <v>0</v>
      </c>
    </row>
    <row r="612" spans="1:8" ht="12">
      <c r="A612" s="78">
        <v>572201</v>
      </c>
      <c r="B612" s="154" t="s">
        <v>451</v>
      </c>
      <c r="C612" s="56">
        <v>0</v>
      </c>
      <c r="D612" s="121">
        <v>0</v>
      </c>
      <c r="E612" s="121">
        <v>0</v>
      </c>
      <c r="F612" s="27">
        <f t="shared" si="152"/>
        <v>0</v>
      </c>
      <c r="G612" s="121">
        <v>0</v>
      </c>
      <c r="H612" s="132">
        <f t="shared" si="164"/>
        <v>0</v>
      </c>
    </row>
    <row r="613" spans="1:8" ht="12">
      <c r="A613" s="78">
        <v>572500</v>
      </c>
      <c r="B613" s="153" t="s">
        <v>452</v>
      </c>
      <c r="C613" s="54">
        <v>0</v>
      </c>
      <c r="D613" s="118">
        <f>+D614</f>
        <v>0</v>
      </c>
      <c r="E613" s="118">
        <f>+E614</f>
        <v>0</v>
      </c>
      <c r="F613" s="27">
        <f t="shared" si="152"/>
        <v>0</v>
      </c>
      <c r="G613" s="118">
        <f>+G614</f>
        <v>0</v>
      </c>
      <c r="H613" s="119">
        <f>+H614</f>
        <v>0</v>
      </c>
    </row>
    <row r="614" spans="1:8" ht="13.5" customHeight="1">
      <c r="A614" s="78">
        <v>572501</v>
      </c>
      <c r="B614" s="154" t="s">
        <v>453</v>
      </c>
      <c r="C614" s="56">
        <v>0</v>
      </c>
      <c r="D614" s="121">
        <v>0</v>
      </c>
      <c r="E614" s="121">
        <v>0</v>
      </c>
      <c r="F614" s="27">
        <f t="shared" si="152"/>
        <v>0</v>
      </c>
      <c r="G614" s="121">
        <v>0</v>
      </c>
      <c r="H614" s="132">
        <f t="shared" si="164"/>
        <v>0</v>
      </c>
    </row>
    <row r="615" spans="1:8" ht="12">
      <c r="A615" s="78">
        <v>580000</v>
      </c>
      <c r="B615" s="153" t="s">
        <v>454</v>
      </c>
      <c r="C615" s="54">
        <f aca="true" t="shared" si="167" ref="C615:H615">C616+C619+C622+C626</f>
        <v>118444</v>
      </c>
      <c r="D615" s="54">
        <f t="shared" si="167"/>
        <v>122757459</v>
      </c>
      <c r="E615" s="54">
        <f t="shared" si="167"/>
        <v>113393</v>
      </c>
      <c r="F615" s="54">
        <f t="shared" si="167"/>
        <v>122762510</v>
      </c>
      <c r="G615" s="54">
        <f t="shared" si="167"/>
        <v>0</v>
      </c>
      <c r="H615" s="55">
        <f t="shared" si="167"/>
        <v>122762510</v>
      </c>
    </row>
    <row r="616" spans="1:8" ht="12">
      <c r="A616" s="78">
        <v>580100</v>
      </c>
      <c r="B616" s="153" t="s">
        <v>455</v>
      </c>
      <c r="C616" s="54">
        <f aca="true" t="shared" si="168" ref="C616:H616">SUM(C617:C618)</f>
        <v>822</v>
      </c>
      <c r="D616" s="118">
        <f t="shared" si="168"/>
        <v>0</v>
      </c>
      <c r="E616" s="118">
        <f t="shared" si="168"/>
        <v>0</v>
      </c>
      <c r="F616" s="118">
        <f t="shared" si="168"/>
        <v>822</v>
      </c>
      <c r="G616" s="118">
        <f t="shared" si="168"/>
        <v>0</v>
      </c>
      <c r="H616" s="119">
        <f t="shared" si="168"/>
        <v>822</v>
      </c>
    </row>
    <row r="617" spans="1:8" ht="24">
      <c r="A617" s="78">
        <v>580107</v>
      </c>
      <c r="B617" s="154" t="s">
        <v>456</v>
      </c>
      <c r="C617" s="56">
        <v>0</v>
      </c>
      <c r="D617" s="121">
        <v>0</v>
      </c>
      <c r="E617" s="121">
        <v>0</v>
      </c>
      <c r="F617" s="27">
        <f t="shared" si="152"/>
        <v>0</v>
      </c>
      <c r="G617" s="121">
        <v>0</v>
      </c>
      <c r="H617" s="132">
        <f aca="true" t="shared" si="169" ref="H617:H644">+F617</f>
        <v>0</v>
      </c>
    </row>
    <row r="618" spans="1:8" ht="12">
      <c r="A618" s="78">
        <v>580110</v>
      </c>
      <c r="B618" s="154" t="s">
        <v>457</v>
      </c>
      <c r="C618" s="56">
        <v>822</v>
      </c>
      <c r="D618" s="121">
        <v>0</v>
      </c>
      <c r="E618" s="121">
        <v>0</v>
      </c>
      <c r="F618" s="27">
        <f t="shared" si="152"/>
        <v>822</v>
      </c>
      <c r="G618" s="121">
        <v>0</v>
      </c>
      <c r="H618" s="132">
        <f t="shared" si="169"/>
        <v>822</v>
      </c>
    </row>
    <row r="619" spans="1:8" ht="12">
      <c r="A619" s="78">
        <v>580500</v>
      </c>
      <c r="B619" s="153" t="s">
        <v>277</v>
      </c>
      <c r="C619" s="54">
        <f aca="true" t="shared" si="170" ref="C619:H619">SUM(C620:C621)</f>
        <v>2737</v>
      </c>
      <c r="D619" s="118">
        <f t="shared" si="170"/>
        <v>1788</v>
      </c>
      <c r="E619" s="118">
        <f t="shared" si="170"/>
        <v>0</v>
      </c>
      <c r="F619" s="118">
        <f t="shared" si="170"/>
        <v>4525</v>
      </c>
      <c r="G619" s="118">
        <f t="shared" si="170"/>
        <v>0</v>
      </c>
      <c r="H619" s="119">
        <f t="shared" si="170"/>
        <v>4525</v>
      </c>
    </row>
    <row r="620" spans="1:8" ht="12">
      <c r="A620" s="78">
        <v>580536</v>
      </c>
      <c r="B620" s="154" t="s">
        <v>458</v>
      </c>
      <c r="C620" s="56">
        <v>2737</v>
      </c>
      <c r="D620" s="121">
        <v>1788</v>
      </c>
      <c r="E620" s="121">
        <v>0</v>
      </c>
      <c r="F620" s="27">
        <f t="shared" si="152"/>
        <v>4525</v>
      </c>
      <c r="G620" s="121">
        <v>0</v>
      </c>
      <c r="H620" s="132">
        <f t="shared" si="169"/>
        <v>4525</v>
      </c>
    </row>
    <row r="621" spans="1:8" ht="12">
      <c r="A621" s="78">
        <v>580590</v>
      </c>
      <c r="B621" s="154" t="s">
        <v>459</v>
      </c>
      <c r="C621" s="56">
        <v>0</v>
      </c>
      <c r="D621" s="121">
        <v>0</v>
      </c>
      <c r="E621" s="121">
        <v>0</v>
      </c>
      <c r="F621" s="27">
        <f t="shared" si="152"/>
        <v>0</v>
      </c>
      <c r="G621" s="121">
        <v>0</v>
      </c>
      <c r="H621" s="132">
        <f t="shared" si="169"/>
        <v>0</v>
      </c>
    </row>
    <row r="622" spans="1:8" ht="12">
      <c r="A622" s="78">
        <v>581000</v>
      </c>
      <c r="B622" s="153" t="s">
        <v>286</v>
      </c>
      <c r="C622" s="54">
        <f aca="true" t="shared" si="171" ref="C622:H622">SUM(C623:C625)</f>
        <v>0</v>
      </c>
      <c r="D622" s="118">
        <f t="shared" si="171"/>
        <v>4060</v>
      </c>
      <c r="E622" s="118">
        <f t="shared" si="171"/>
        <v>0</v>
      </c>
      <c r="F622" s="118">
        <f t="shared" si="171"/>
        <v>4060</v>
      </c>
      <c r="G622" s="118">
        <f t="shared" si="171"/>
        <v>0</v>
      </c>
      <c r="H622" s="119">
        <f t="shared" si="171"/>
        <v>4060</v>
      </c>
    </row>
    <row r="623" spans="1:8" ht="12">
      <c r="A623" s="78">
        <v>581003</v>
      </c>
      <c r="B623" s="154" t="s">
        <v>460</v>
      </c>
      <c r="C623" s="56">
        <v>0</v>
      </c>
      <c r="D623" s="121">
        <v>5</v>
      </c>
      <c r="E623" s="121">
        <v>0</v>
      </c>
      <c r="F623" s="27">
        <f t="shared" si="152"/>
        <v>5</v>
      </c>
      <c r="G623" s="121">
        <v>0</v>
      </c>
      <c r="H623" s="132">
        <f t="shared" si="169"/>
        <v>5</v>
      </c>
    </row>
    <row r="624" spans="1:8" ht="12">
      <c r="A624" s="78">
        <v>581004</v>
      </c>
      <c r="B624" s="154" t="s">
        <v>291</v>
      </c>
      <c r="C624" s="56">
        <v>0</v>
      </c>
      <c r="D624" s="121">
        <v>0</v>
      </c>
      <c r="E624" s="121">
        <v>0</v>
      </c>
      <c r="F624" s="27">
        <f t="shared" si="152"/>
        <v>0</v>
      </c>
      <c r="G624" s="121">
        <v>0</v>
      </c>
      <c r="H624" s="132">
        <f t="shared" si="169"/>
        <v>0</v>
      </c>
    </row>
    <row r="625" spans="1:8" ht="12">
      <c r="A625" s="78">
        <v>581033</v>
      </c>
      <c r="B625" s="80" t="s">
        <v>461</v>
      </c>
      <c r="C625" s="56">
        <v>0</v>
      </c>
      <c r="D625" s="121">
        <v>4055</v>
      </c>
      <c r="E625" s="121">
        <v>0</v>
      </c>
      <c r="F625" s="27">
        <f t="shared" si="152"/>
        <v>4055</v>
      </c>
      <c r="G625" s="121">
        <v>0</v>
      </c>
      <c r="H625" s="132">
        <f t="shared" si="169"/>
        <v>4055</v>
      </c>
    </row>
    <row r="626" spans="1:8" ht="12">
      <c r="A626" s="78">
        <v>581500</v>
      </c>
      <c r="B626" s="153" t="s">
        <v>295</v>
      </c>
      <c r="C626" s="54">
        <f aca="true" t="shared" si="172" ref="C626:H626">SUM(C627:C644)</f>
        <v>114885</v>
      </c>
      <c r="D626" s="118">
        <f t="shared" si="172"/>
        <v>122751611</v>
      </c>
      <c r="E626" s="118">
        <f t="shared" si="172"/>
        <v>113393</v>
      </c>
      <c r="F626" s="118">
        <f t="shared" si="172"/>
        <v>122753103</v>
      </c>
      <c r="G626" s="118">
        <f t="shared" si="172"/>
        <v>0</v>
      </c>
      <c r="H626" s="119">
        <f t="shared" si="172"/>
        <v>122753103</v>
      </c>
    </row>
    <row r="627" spans="1:8" ht="12">
      <c r="A627" s="78">
        <v>581506</v>
      </c>
      <c r="B627" s="154" t="s">
        <v>439</v>
      </c>
      <c r="C627" s="56">
        <v>5095</v>
      </c>
      <c r="D627" s="121">
        <v>0</v>
      </c>
      <c r="E627" s="121">
        <v>0</v>
      </c>
      <c r="F627" s="27">
        <f t="shared" si="152"/>
        <v>5095</v>
      </c>
      <c r="G627" s="121">
        <v>0</v>
      </c>
      <c r="H627" s="132">
        <f t="shared" si="169"/>
        <v>5095</v>
      </c>
    </row>
    <row r="628" spans="1:8" ht="12">
      <c r="A628" s="78">
        <v>581509</v>
      </c>
      <c r="B628" s="154" t="s">
        <v>462</v>
      </c>
      <c r="C628" s="56">
        <v>0</v>
      </c>
      <c r="D628" s="121">
        <v>0</v>
      </c>
      <c r="E628" s="121">
        <v>0</v>
      </c>
      <c r="F628" s="27">
        <f t="shared" si="152"/>
        <v>0</v>
      </c>
      <c r="G628" s="121">
        <v>0</v>
      </c>
      <c r="H628" s="132">
        <f t="shared" si="169"/>
        <v>0</v>
      </c>
    </row>
    <row r="629" spans="1:8" ht="12">
      <c r="A629" s="78">
        <v>581510</v>
      </c>
      <c r="B629" s="154" t="s">
        <v>263</v>
      </c>
      <c r="C629" s="56">
        <v>0</v>
      </c>
      <c r="D629" s="121">
        <v>0</v>
      </c>
      <c r="E629" s="121">
        <v>0</v>
      </c>
      <c r="F629" s="27">
        <f t="shared" si="152"/>
        <v>0</v>
      </c>
      <c r="G629" s="121">
        <v>0</v>
      </c>
      <c r="H629" s="132">
        <f t="shared" si="169"/>
        <v>0</v>
      </c>
    </row>
    <row r="630" spans="1:8" ht="12">
      <c r="A630" s="78">
        <v>581511</v>
      </c>
      <c r="B630" s="154" t="s">
        <v>463</v>
      </c>
      <c r="C630" s="56">
        <v>0</v>
      </c>
      <c r="D630" s="121">
        <v>0</v>
      </c>
      <c r="E630" s="121">
        <v>0</v>
      </c>
      <c r="F630" s="27">
        <f t="shared" si="152"/>
        <v>0</v>
      </c>
      <c r="G630" s="121">
        <v>0</v>
      </c>
      <c r="H630" s="132">
        <f t="shared" si="169"/>
        <v>0</v>
      </c>
    </row>
    <row r="631" spans="1:8" ht="12">
      <c r="A631" s="78">
        <v>581516</v>
      </c>
      <c r="B631" s="154" t="s">
        <v>464</v>
      </c>
      <c r="C631" s="56">
        <v>255</v>
      </c>
      <c r="D631" s="121">
        <v>0</v>
      </c>
      <c r="E631" s="121">
        <v>0</v>
      </c>
      <c r="F631" s="27">
        <f t="shared" si="152"/>
        <v>255</v>
      </c>
      <c r="G631" s="121">
        <v>0</v>
      </c>
      <c r="H631" s="132">
        <f t="shared" si="169"/>
        <v>255</v>
      </c>
    </row>
    <row r="632" spans="1:8" ht="12">
      <c r="A632" s="78">
        <v>581517</v>
      </c>
      <c r="B632" s="80" t="s">
        <v>465</v>
      </c>
      <c r="C632" s="56">
        <v>0</v>
      </c>
      <c r="D632" s="121">
        <v>2851</v>
      </c>
      <c r="E632" s="121"/>
      <c r="F632" s="27">
        <f t="shared" si="152"/>
        <v>2851</v>
      </c>
      <c r="G632" s="121">
        <v>0</v>
      </c>
      <c r="H632" s="132">
        <f t="shared" si="169"/>
        <v>2851</v>
      </c>
    </row>
    <row r="633" spans="1:8" ht="12">
      <c r="A633" s="78">
        <v>581520</v>
      </c>
      <c r="B633" s="154" t="s">
        <v>466</v>
      </c>
      <c r="C633" s="56">
        <v>39329</v>
      </c>
      <c r="D633" s="121">
        <v>122635367</v>
      </c>
      <c r="E633" s="121">
        <v>0</v>
      </c>
      <c r="F633" s="27">
        <f t="shared" si="152"/>
        <v>122674696</v>
      </c>
      <c r="G633" s="121">
        <v>0</v>
      </c>
      <c r="H633" s="132">
        <f t="shared" si="169"/>
        <v>122674696</v>
      </c>
    </row>
    <row r="634" spans="1:8" ht="12">
      <c r="A634" s="78">
        <v>581527</v>
      </c>
      <c r="B634" s="154" t="s">
        <v>467</v>
      </c>
      <c r="C634" s="56">
        <v>0</v>
      </c>
      <c r="D634" s="121">
        <v>0</v>
      </c>
      <c r="E634" s="121">
        <v>0</v>
      </c>
      <c r="F634" s="27">
        <f t="shared" si="152"/>
        <v>0</v>
      </c>
      <c r="G634" s="121">
        <v>0</v>
      </c>
      <c r="H634" s="132">
        <f t="shared" si="169"/>
        <v>0</v>
      </c>
    </row>
    <row r="635" spans="1:8" ht="12">
      <c r="A635" s="78">
        <v>581535</v>
      </c>
      <c r="B635" s="154" t="s">
        <v>468</v>
      </c>
      <c r="C635" s="56">
        <v>0</v>
      </c>
      <c r="D635" s="121">
        <v>0</v>
      </c>
      <c r="E635" s="121">
        <v>0</v>
      </c>
      <c r="F635" s="27">
        <f t="shared" si="152"/>
        <v>0</v>
      </c>
      <c r="G635" s="121">
        <v>0</v>
      </c>
      <c r="H635" s="132">
        <f t="shared" si="169"/>
        <v>0</v>
      </c>
    </row>
    <row r="636" spans="1:8" ht="12">
      <c r="A636" s="78">
        <v>581542</v>
      </c>
      <c r="B636" s="154" t="s">
        <v>469</v>
      </c>
      <c r="C636" s="56">
        <v>0</v>
      </c>
      <c r="D636" s="121">
        <v>0</v>
      </c>
      <c r="E636" s="121">
        <v>0</v>
      </c>
      <c r="F636" s="27">
        <f t="shared" si="152"/>
        <v>0</v>
      </c>
      <c r="G636" s="121">
        <v>0</v>
      </c>
      <c r="H636" s="132">
        <f t="shared" si="169"/>
        <v>0</v>
      </c>
    </row>
    <row r="637" spans="1:8" ht="24">
      <c r="A637" s="78">
        <v>581544</v>
      </c>
      <c r="B637" s="154" t="s">
        <v>470</v>
      </c>
      <c r="C637" s="56">
        <v>0</v>
      </c>
      <c r="D637" s="121">
        <v>0</v>
      </c>
      <c r="E637" s="121">
        <v>0</v>
      </c>
      <c r="F637" s="27">
        <f aca="true" t="shared" si="173" ref="F637:F644">+C637+D637-E637</f>
        <v>0</v>
      </c>
      <c r="G637" s="121">
        <v>0</v>
      </c>
      <c r="H637" s="132">
        <f t="shared" si="169"/>
        <v>0</v>
      </c>
    </row>
    <row r="638" spans="1:8" ht="24">
      <c r="A638" s="78">
        <v>581545</v>
      </c>
      <c r="B638" s="154" t="s">
        <v>471</v>
      </c>
      <c r="C638" s="56">
        <v>0</v>
      </c>
      <c r="D638" s="121">
        <v>0</v>
      </c>
      <c r="E638" s="121">
        <v>0</v>
      </c>
      <c r="F638" s="27">
        <f t="shared" si="173"/>
        <v>0</v>
      </c>
      <c r="G638" s="121">
        <v>0</v>
      </c>
      <c r="H638" s="132">
        <f t="shared" si="169"/>
        <v>0</v>
      </c>
    </row>
    <row r="639" spans="1:8" ht="24">
      <c r="A639" s="78">
        <v>581546</v>
      </c>
      <c r="B639" s="154" t="s">
        <v>472</v>
      </c>
      <c r="C639" s="56">
        <v>0</v>
      </c>
      <c r="D639" s="121">
        <v>0</v>
      </c>
      <c r="E639" s="121">
        <v>0</v>
      </c>
      <c r="F639" s="27">
        <f t="shared" si="173"/>
        <v>0</v>
      </c>
      <c r="G639" s="121">
        <v>0</v>
      </c>
      <c r="H639" s="132">
        <f t="shared" si="169"/>
        <v>0</v>
      </c>
    </row>
    <row r="640" spans="1:8" ht="12">
      <c r="A640" s="78">
        <v>581557</v>
      </c>
      <c r="B640" s="154" t="s">
        <v>473</v>
      </c>
      <c r="C640" s="56">
        <v>0</v>
      </c>
      <c r="D640" s="121">
        <v>0</v>
      </c>
      <c r="E640" s="121">
        <v>0</v>
      </c>
      <c r="F640" s="27">
        <f t="shared" si="173"/>
        <v>0</v>
      </c>
      <c r="G640" s="121">
        <v>0</v>
      </c>
      <c r="H640" s="132">
        <f t="shared" si="169"/>
        <v>0</v>
      </c>
    </row>
    <row r="641" spans="1:8" ht="24">
      <c r="A641" s="78">
        <v>581558</v>
      </c>
      <c r="B641" s="154" t="s">
        <v>474</v>
      </c>
      <c r="C641" s="56">
        <v>0</v>
      </c>
      <c r="D641" s="121">
        <v>0</v>
      </c>
      <c r="E641" s="121">
        <v>0</v>
      </c>
      <c r="F641" s="27">
        <f t="shared" si="173"/>
        <v>0</v>
      </c>
      <c r="G641" s="121">
        <v>0</v>
      </c>
      <c r="H641" s="132">
        <f t="shared" si="169"/>
        <v>0</v>
      </c>
    </row>
    <row r="642" spans="1:8" ht="12">
      <c r="A642" s="78">
        <v>581559</v>
      </c>
      <c r="B642" s="80" t="s">
        <v>475</v>
      </c>
      <c r="C642" s="56">
        <v>0</v>
      </c>
      <c r="D642" s="121">
        <v>29508</v>
      </c>
      <c r="E642" s="121">
        <v>29508</v>
      </c>
      <c r="F642" s="27">
        <f t="shared" si="173"/>
        <v>0</v>
      </c>
      <c r="G642" s="121">
        <v>0</v>
      </c>
      <c r="H642" s="132">
        <f t="shared" si="169"/>
        <v>0</v>
      </c>
    </row>
    <row r="643" spans="1:8" ht="24">
      <c r="A643" s="78">
        <v>581576</v>
      </c>
      <c r="B643" s="154" t="s">
        <v>476</v>
      </c>
      <c r="C643" s="56">
        <v>70206</v>
      </c>
      <c r="D643" s="121">
        <v>0</v>
      </c>
      <c r="E643" s="121">
        <v>0</v>
      </c>
      <c r="F643" s="27">
        <f t="shared" si="173"/>
        <v>70206</v>
      </c>
      <c r="G643" s="121">
        <v>0</v>
      </c>
      <c r="H643" s="132">
        <f t="shared" si="169"/>
        <v>70206</v>
      </c>
    </row>
    <row r="644" spans="1:8" ht="12">
      <c r="A644" s="78">
        <v>581586</v>
      </c>
      <c r="B644" s="80" t="s">
        <v>477</v>
      </c>
      <c r="C644" s="56">
        <v>0</v>
      </c>
      <c r="D644" s="121">
        <v>83885</v>
      </c>
      <c r="E644" s="121">
        <v>83885</v>
      </c>
      <c r="F644" s="27">
        <f t="shared" si="173"/>
        <v>0</v>
      </c>
      <c r="G644" s="121">
        <v>0</v>
      </c>
      <c r="H644" s="132">
        <f t="shared" si="169"/>
        <v>0</v>
      </c>
    </row>
    <row r="645" spans="1:8" ht="12">
      <c r="A645" s="78">
        <v>590000</v>
      </c>
      <c r="B645" s="153" t="s">
        <v>478</v>
      </c>
      <c r="C645" s="54">
        <f aca="true" t="shared" si="174" ref="C645:H645">C646</f>
        <v>0</v>
      </c>
      <c r="D645" s="54">
        <f t="shared" si="174"/>
        <v>0</v>
      </c>
      <c r="E645" s="54">
        <f t="shared" si="174"/>
        <v>0</v>
      </c>
      <c r="F645" s="54">
        <f t="shared" si="174"/>
        <v>0</v>
      </c>
      <c r="G645" s="54">
        <f t="shared" si="174"/>
        <v>0</v>
      </c>
      <c r="H645" s="55">
        <f t="shared" si="174"/>
        <v>0</v>
      </c>
    </row>
    <row r="646" spans="1:8" ht="12">
      <c r="A646" s="78">
        <v>590500</v>
      </c>
      <c r="B646" s="153" t="s">
        <v>478</v>
      </c>
      <c r="C646" s="54">
        <f aca="true" t="shared" si="175" ref="C646:H646">SUM(C647)</f>
        <v>0</v>
      </c>
      <c r="D646" s="118">
        <f t="shared" si="175"/>
        <v>0</v>
      </c>
      <c r="E646" s="118">
        <f t="shared" si="175"/>
        <v>0</v>
      </c>
      <c r="F646" s="118">
        <f t="shared" si="175"/>
        <v>0</v>
      </c>
      <c r="G646" s="118">
        <f t="shared" si="175"/>
        <v>0</v>
      </c>
      <c r="H646" s="119">
        <f t="shared" si="175"/>
        <v>0</v>
      </c>
    </row>
    <row r="647" spans="1:8" ht="12">
      <c r="A647" s="78">
        <v>590501</v>
      </c>
      <c r="B647" s="154" t="s">
        <v>479</v>
      </c>
      <c r="C647" s="56">
        <v>0</v>
      </c>
      <c r="D647" s="121">
        <v>0</v>
      </c>
      <c r="E647" s="121">
        <v>0</v>
      </c>
      <c r="F647" s="27">
        <f>+C647+D647-E647</f>
        <v>0</v>
      </c>
      <c r="G647" s="121">
        <v>0</v>
      </c>
      <c r="H647" s="132">
        <f>+F647</f>
        <v>0</v>
      </c>
    </row>
    <row r="648" spans="1:8" ht="12">
      <c r="A648" s="78">
        <v>800000</v>
      </c>
      <c r="B648" s="153" t="s">
        <v>480</v>
      </c>
      <c r="C648" s="54">
        <f>C649+C661</f>
        <v>0</v>
      </c>
      <c r="D648" s="54">
        <f>D649+D661</f>
        <v>139112</v>
      </c>
      <c r="E648" s="54">
        <f>E649+E661</f>
        <v>139112</v>
      </c>
      <c r="F648" s="54">
        <f>F649+F661</f>
        <v>0</v>
      </c>
      <c r="G648" s="118">
        <v>0</v>
      </c>
      <c r="H648" s="119">
        <v>0</v>
      </c>
    </row>
    <row r="649" spans="1:8" ht="12">
      <c r="A649" s="78">
        <v>830000</v>
      </c>
      <c r="B649" s="153" t="s">
        <v>481</v>
      </c>
      <c r="C649" s="54">
        <f aca="true" t="shared" si="176" ref="C649:H649">C650+C655+C659</f>
        <v>14272308</v>
      </c>
      <c r="D649" s="54">
        <f t="shared" si="176"/>
        <v>113392</v>
      </c>
      <c r="E649" s="54">
        <f t="shared" si="176"/>
        <v>139112</v>
      </c>
      <c r="F649" s="54">
        <f t="shared" si="176"/>
        <v>14246588</v>
      </c>
      <c r="G649" s="54">
        <f t="shared" si="176"/>
        <v>0</v>
      </c>
      <c r="H649" s="55">
        <f t="shared" si="176"/>
        <v>14246588</v>
      </c>
    </row>
    <row r="650" spans="1:8" ht="24">
      <c r="A650" s="78">
        <v>831500</v>
      </c>
      <c r="B650" s="153" t="s">
        <v>482</v>
      </c>
      <c r="C650" s="54">
        <f aca="true" t="shared" si="177" ref="C650:H650">SUM(C651:C654)</f>
        <v>50178</v>
      </c>
      <c r="D650" s="118">
        <f t="shared" si="177"/>
        <v>0</v>
      </c>
      <c r="E650" s="118">
        <f t="shared" si="177"/>
        <v>0</v>
      </c>
      <c r="F650" s="118">
        <f t="shared" si="177"/>
        <v>50178</v>
      </c>
      <c r="G650" s="118">
        <f t="shared" si="177"/>
        <v>0</v>
      </c>
      <c r="H650" s="119">
        <f t="shared" si="177"/>
        <v>50178</v>
      </c>
    </row>
    <row r="651" spans="1:8" ht="12">
      <c r="A651" s="78">
        <v>831507</v>
      </c>
      <c r="B651" s="154" t="s">
        <v>21</v>
      </c>
      <c r="C651" s="56">
        <v>50178</v>
      </c>
      <c r="D651" s="121">
        <v>0</v>
      </c>
      <c r="E651" s="121">
        <v>0</v>
      </c>
      <c r="F651" s="27">
        <f>+C651+D651-E651</f>
        <v>50178</v>
      </c>
      <c r="G651" s="121">
        <v>0</v>
      </c>
      <c r="H651" s="132">
        <f aca="true" t="shared" si="178" ref="H651:H660">+F651</f>
        <v>50178</v>
      </c>
    </row>
    <row r="652" spans="1:8" ht="12">
      <c r="A652" s="78">
        <v>831535</v>
      </c>
      <c r="B652" s="154" t="s">
        <v>483</v>
      </c>
      <c r="C652" s="56">
        <v>0</v>
      </c>
      <c r="D652" s="121">
        <v>0</v>
      </c>
      <c r="E652" s="121">
        <v>0</v>
      </c>
      <c r="F652" s="27">
        <f>+C652+D652-E652</f>
        <v>0</v>
      </c>
      <c r="G652" s="121">
        <v>0</v>
      </c>
      <c r="H652" s="132">
        <f t="shared" si="178"/>
        <v>0</v>
      </c>
    </row>
    <row r="653" spans="1:8" ht="24">
      <c r="A653" s="78">
        <v>831600</v>
      </c>
      <c r="B653" s="153" t="s">
        <v>115</v>
      </c>
      <c r="C653" s="54">
        <v>0</v>
      </c>
      <c r="D653" s="118">
        <f>+D654</f>
        <v>0</v>
      </c>
      <c r="E653" s="118">
        <f>+E654</f>
        <v>0</v>
      </c>
      <c r="F653" s="27">
        <f>+C653+D653-E653</f>
        <v>0</v>
      </c>
      <c r="G653" s="118">
        <v>0</v>
      </c>
      <c r="H653" s="119">
        <f>+H654</f>
        <v>0</v>
      </c>
    </row>
    <row r="654" spans="1:8" ht="12">
      <c r="A654" s="78">
        <v>831690</v>
      </c>
      <c r="B654" s="154" t="s">
        <v>119</v>
      </c>
      <c r="C654" s="56">
        <v>0</v>
      </c>
      <c r="D654" s="121">
        <v>0</v>
      </c>
      <c r="E654" s="121">
        <v>0</v>
      </c>
      <c r="F654" s="27">
        <f>+C654+D654-E654</f>
        <v>0</v>
      </c>
      <c r="G654" s="121">
        <v>0</v>
      </c>
      <c r="H654" s="132">
        <f t="shared" si="178"/>
        <v>0</v>
      </c>
    </row>
    <row r="655" spans="1:8" ht="12">
      <c r="A655" s="78">
        <v>833000</v>
      </c>
      <c r="B655" s="153" t="s">
        <v>484</v>
      </c>
      <c r="C655" s="54">
        <f aca="true" t="shared" si="179" ref="C655:H655">SUM(C656:C658)</f>
        <v>14196410</v>
      </c>
      <c r="D655" s="118">
        <f t="shared" si="179"/>
        <v>0</v>
      </c>
      <c r="E655" s="118">
        <f t="shared" si="179"/>
        <v>0</v>
      </c>
      <c r="F655" s="118">
        <f t="shared" si="179"/>
        <v>14196410</v>
      </c>
      <c r="G655" s="118">
        <f t="shared" si="179"/>
        <v>0</v>
      </c>
      <c r="H655" s="119">
        <f t="shared" si="179"/>
        <v>14196410</v>
      </c>
    </row>
    <row r="656" spans="1:8" ht="12">
      <c r="A656" s="78">
        <v>833005</v>
      </c>
      <c r="B656" s="154" t="s">
        <v>123</v>
      </c>
      <c r="C656" s="56">
        <v>11715859</v>
      </c>
      <c r="D656" s="121">
        <v>0</v>
      </c>
      <c r="E656" s="121">
        <v>0</v>
      </c>
      <c r="F656" s="27">
        <f>+C656+D656-E656</f>
        <v>11715859</v>
      </c>
      <c r="G656" s="121">
        <v>0</v>
      </c>
      <c r="H656" s="132">
        <f t="shared" si="178"/>
        <v>11715859</v>
      </c>
    </row>
    <row r="657" spans="1:8" ht="12">
      <c r="A657" s="78">
        <v>833008</v>
      </c>
      <c r="B657" s="154" t="s">
        <v>61</v>
      </c>
      <c r="C657" s="56">
        <v>2229636</v>
      </c>
      <c r="D657" s="121">
        <v>0</v>
      </c>
      <c r="E657" s="121">
        <v>0</v>
      </c>
      <c r="F657" s="27">
        <f>+C657+D657-E657</f>
        <v>2229636</v>
      </c>
      <c r="G657" s="121">
        <v>0</v>
      </c>
      <c r="H657" s="132">
        <f t="shared" si="178"/>
        <v>2229636</v>
      </c>
    </row>
    <row r="658" spans="1:8" ht="12">
      <c r="A658" s="78">
        <v>833013</v>
      </c>
      <c r="B658" s="154" t="s">
        <v>384</v>
      </c>
      <c r="C658" s="56">
        <v>250915</v>
      </c>
      <c r="D658" s="121">
        <v>0</v>
      </c>
      <c r="E658" s="121">
        <v>0</v>
      </c>
      <c r="F658" s="27">
        <f>+C658+D658-E658</f>
        <v>250915</v>
      </c>
      <c r="G658" s="121">
        <v>0</v>
      </c>
      <c r="H658" s="132">
        <f t="shared" si="178"/>
        <v>250915</v>
      </c>
    </row>
    <row r="659" spans="1:8" ht="12">
      <c r="A659" s="78">
        <v>839000</v>
      </c>
      <c r="B659" s="153" t="s">
        <v>485</v>
      </c>
      <c r="C659" s="54">
        <f aca="true" t="shared" si="180" ref="C659:H659">SUM(C660)</f>
        <v>25720</v>
      </c>
      <c r="D659" s="118">
        <f t="shared" si="180"/>
        <v>113392</v>
      </c>
      <c r="E659" s="118">
        <f t="shared" si="180"/>
        <v>139112</v>
      </c>
      <c r="F659" s="118">
        <f t="shared" si="180"/>
        <v>0</v>
      </c>
      <c r="G659" s="118">
        <f t="shared" si="180"/>
        <v>0</v>
      </c>
      <c r="H659" s="119">
        <f t="shared" si="180"/>
        <v>0</v>
      </c>
    </row>
    <row r="660" spans="1:8" ht="12">
      <c r="A660" s="78">
        <v>839090</v>
      </c>
      <c r="B660" s="154" t="s">
        <v>486</v>
      </c>
      <c r="C660" s="56">
        <v>25720</v>
      </c>
      <c r="D660" s="121">
        <v>113392</v>
      </c>
      <c r="E660" s="121">
        <f>113392+25720</f>
        <v>139112</v>
      </c>
      <c r="F660" s="27">
        <f>+C660+D660-E660</f>
        <v>0</v>
      </c>
      <c r="G660" s="121">
        <v>0</v>
      </c>
      <c r="H660" s="132">
        <f t="shared" si="178"/>
        <v>0</v>
      </c>
    </row>
    <row r="661" spans="1:8" ht="12">
      <c r="A661" s="78">
        <v>890000</v>
      </c>
      <c r="B661" s="153" t="s">
        <v>487</v>
      </c>
      <c r="C661" s="54">
        <f aca="true" t="shared" si="181" ref="C661:H661">C662</f>
        <v>-14272308</v>
      </c>
      <c r="D661" s="54">
        <f t="shared" si="181"/>
        <v>25720</v>
      </c>
      <c r="E661" s="54">
        <f t="shared" si="181"/>
        <v>0</v>
      </c>
      <c r="F661" s="54">
        <f t="shared" si="181"/>
        <v>-14246588</v>
      </c>
      <c r="G661" s="54">
        <f t="shared" si="181"/>
        <v>0</v>
      </c>
      <c r="H661" s="55">
        <f t="shared" si="181"/>
        <v>-14246588</v>
      </c>
    </row>
    <row r="662" spans="1:8" ht="12">
      <c r="A662" s="78">
        <v>891500</v>
      </c>
      <c r="B662" s="153" t="s">
        <v>488</v>
      </c>
      <c r="C662" s="54">
        <f aca="true" t="shared" si="182" ref="C662:H662">SUM(C663:C666)</f>
        <v>-14272308</v>
      </c>
      <c r="D662" s="118">
        <f t="shared" si="182"/>
        <v>25720</v>
      </c>
      <c r="E662" s="118">
        <f t="shared" si="182"/>
        <v>0</v>
      </c>
      <c r="F662" s="118">
        <f t="shared" si="182"/>
        <v>-14246588</v>
      </c>
      <c r="G662" s="118">
        <f t="shared" si="182"/>
        <v>0</v>
      </c>
      <c r="H662" s="119">
        <f t="shared" si="182"/>
        <v>-14246588</v>
      </c>
    </row>
    <row r="663" spans="1:8" ht="24">
      <c r="A663" s="78">
        <v>891506</v>
      </c>
      <c r="B663" s="154" t="s">
        <v>489</v>
      </c>
      <c r="C663" s="56">
        <v>-50178</v>
      </c>
      <c r="D663" s="121">
        <v>0</v>
      </c>
      <c r="E663" s="121">
        <v>0</v>
      </c>
      <c r="F663" s="27">
        <f>+C663+D663-E663</f>
        <v>-50178</v>
      </c>
      <c r="G663" s="121">
        <v>0</v>
      </c>
      <c r="H663" s="132">
        <f>+F663</f>
        <v>-50178</v>
      </c>
    </row>
    <row r="664" spans="1:8" ht="24">
      <c r="A664" s="78">
        <v>891507</v>
      </c>
      <c r="B664" s="154" t="s">
        <v>490</v>
      </c>
      <c r="C664" s="56">
        <v>0</v>
      </c>
      <c r="D664" s="121">
        <v>0</v>
      </c>
      <c r="E664" s="121">
        <v>0</v>
      </c>
      <c r="F664" s="27">
        <f>+C664+D664-E664</f>
        <v>0</v>
      </c>
      <c r="G664" s="121">
        <v>0</v>
      </c>
      <c r="H664" s="132">
        <f>+F664</f>
        <v>0</v>
      </c>
    </row>
    <row r="665" spans="1:8" ht="12">
      <c r="A665" s="78">
        <v>891511</v>
      </c>
      <c r="B665" s="154" t="s">
        <v>491</v>
      </c>
      <c r="C665" s="56">
        <v>-14196410</v>
      </c>
      <c r="D665" s="121">
        <v>0</v>
      </c>
      <c r="E665" s="121">
        <v>0</v>
      </c>
      <c r="F665" s="27">
        <f>C665+D665-E665</f>
        <v>-14196410</v>
      </c>
      <c r="G665" s="121">
        <v>0</v>
      </c>
      <c r="H665" s="132">
        <f>+F665</f>
        <v>-14196410</v>
      </c>
    </row>
    <row r="666" spans="1:8" ht="12">
      <c r="A666" s="78">
        <v>891590</v>
      </c>
      <c r="B666" s="154" t="s">
        <v>492</v>
      </c>
      <c r="C666" s="56">
        <v>-25720</v>
      </c>
      <c r="D666" s="121">
        <v>25720</v>
      </c>
      <c r="E666" s="121">
        <v>0</v>
      </c>
      <c r="F666" s="27">
        <f>+C666+D666-E666</f>
        <v>0</v>
      </c>
      <c r="G666" s="121">
        <v>0</v>
      </c>
      <c r="H666" s="132">
        <f>+F666</f>
        <v>0</v>
      </c>
    </row>
    <row r="667" spans="1:8" ht="12">
      <c r="A667" s="78">
        <v>900000</v>
      </c>
      <c r="B667" s="153" t="s">
        <v>493</v>
      </c>
      <c r="C667" s="54">
        <f>C668+C675+C683</f>
        <v>0</v>
      </c>
      <c r="D667" s="54">
        <f>D668+D675+D683</f>
        <v>1756033012</v>
      </c>
      <c r="E667" s="54">
        <f>E668+E675+E683</f>
        <v>1756033012</v>
      </c>
      <c r="F667" s="54">
        <f>F668+F675+F683</f>
        <v>0</v>
      </c>
      <c r="G667" s="118">
        <v>0</v>
      </c>
      <c r="H667" s="119">
        <v>0</v>
      </c>
    </row>
    <row r="668" spans="1:8" ht="12">
      <c r="A668" s="78">
        <v>910000</v>
      </c>
      <c r="B668" s="153" t="s">
        <v>494</v>
      </c>
      <c r="C668" s="54">
        <f aca="true" t="shared" si="183" ref="C668:H668">C669+C671+C673</f>
        <v>323305973</v>
      </c>
      <c r="D668" s="54">
        <f t="shared" si="183"/>
        <v>97374991</v>
      </c>
      <c r="E668" s="54">
        <f t="shared" si="183"/>
        <v>1656487528</v>
      </c>
      <c r="F668" s="54">
        <f t="shared" si="183"/>
        <v>1882418510</v>
      </c>
      <c r="G668" s="54">
        <f t="shared" si="183"/>
        <v>0</v>
      </c>
      <c r="H668" s="55">
        <f t="shared" si="183"/>
        <v>1882418510</v>
      </c>
    </row>
    <row r="669" spans="1:8" ht="12">
      <c r="A669" s="78">
        <v>912000</v>
      </c>
      <c r="B669" s="153" t="s">
        <v>495</v>
      </c>
      <c r="C669" s="54">
        <f aca="true" t="shared" si="184" ref="C669:H669">SUM(C670)</f>
        <v>0</v>
      </c>
      <c r="D669" s="118">
        <f t="shared" si="184"/>
        <v>0</v>
      </c>
      <c r="E669" s="118">
        <f t="shared" si="184"/>
        <v>1656170804</v>
      </c>
      <c r="F669" s="118">
        <f t="shared" si="184"/>
        <v>1656170804</v>
      </c>
      <c r="G669" s="118">
        <f t="shared" si="184"/>
        <v>0</v>
      </c>
      <c r="H669" s="119">
        <f t="shared" si="184"/>
        <v>1656170804</v>
      </c>
    </row>
    <row r="670" spans="1:8" ht="12">
      <c r="A670" s="78">
        <v>912002</v>
      </c>
      <c r="B670" s="154" t="s">
        <v>496</v>
      </c>
      <c r="C670" s="56">
        <v>0</v>
      </c>
      <c r="D670" s="121">
        <v>0</v>
      </c>
      <c r="E670" s="121">
        <v>1656170804</v>
      </c>
      <c r="F670" s="27">
        <f>C670-D670+E670</f>
        <v>1656170804</v>
      </c>
      <c r="G670" s="121">
        <v>0</v>
      </c>
      <c r="H670" s="132">
        <f>+F670</f>
        <v>1656170804</v>
      </c>
    </row>
    <row r="671" spans="1:8" ht="12">
      <c r="A671" s="78">
        <v>913500</v>
      </c>
      <c r="B671" s="153" t="s">
        <v>497</v>
      </c>
      <c r="C671" s="54">
        <f aca="true" t="shared" si="185" ref="C671:H671">SUM(C672)</f>
        <v>323305973</v>
      </c>
      <c r="D671" s="118">
        <f t="shared" si="185"/>
        <v>97374991</v>
      </c>
      <c r="E671" s="118">
        <f t="shared" si="185"/>
        <v>316724</v>
      </c>
      <c r="F671" s="118">
        <f t="shared" si="185"/>
        <v>226247706</v>
      </c>
      <c r="G671" s="118">
        <f t="shared" si="185"/>
        <v>0</v>
      </c>
      <c r="H671" s="119">
        <f t="shared" si="185"/>
        <v>226247706</v>
      </c>
    </row>
    <row r="672" spans="1:8" ht="12">
      <c r="A672" s="78">
        <v>913503</v>
      </c>
      <c r="B672" s="154" t="s">
        <v>498</v>
      </c>
      <c r="C672" s="56">
        <v>323305973</v>
      </c>
      <c r="D672" s="121">
        <v>97374991</v>
      </c>
      <c r="E672" s="121">
        <v>316724</v>
      </c>
      <c r="F672" s="27">
        <f>C672-D672+E672</f>
        <v>226247706</v>
      </c>
      <c r="G672" s="121">
        <v>0</v>
      </c>
      <c r="H672" s="132">
        <f>+F672</f>
        <v>226247706</v>
      </c>
    </row>
    <row r="673" spans="1:8" ht="24">
      <c r="A673" s="78">
        <v>919000</v>
      </c>
      <c r="B673" s="153" t="s">
        <v>499</v>
      </c>
      <c r="C673" s="54">
        <f aca="true" t="shared" si="186" ref="C673:H673">SUM(C674)</f>
        <v>0</v>
      </c>
      <c r="D673" s="118">
        <f t="shared" si="186"/>
        <v>0</v>
      </c>
      <c r="E673" s="118">
        <f t="shared" si="186"/>
        <v>0</v>
      </c>
      <c r="F673" s="118">
        <f t="shared" si="186"/>
        <v>0</v>
      </c>
      <c r="G673" s="118">
        <f t="shared" si="186"/>
        <v>0</v>
      </c>
      <c r="H673" s="119">
        <f t="shared" si="186"/>
        <v>0</v>
      </c>
    </row>
    <row r="674" spans="1:8" ht="12">
      <c r="A674" s="78">
        <v>919090</v>
      </c>
      <c r="B674" s="154" t="s">
        <v>500</v>
      </c>
      <c r="C674" s="56">
        <v>0</v>
      </c>
      <c r="D674" s="121">
        <v>0</v>
      </c>
      <c r="E674" s="121">
        <v>0</v>
      </c>
      <c r="F674" s="27">
        <f>+C674+D674-E674</f>
        <v>0</v>
      </c>
      <c r="G674" s="121">
        <v>0</v>
      </c>
      <c r="H674" s="132">
        <f>+F674</f>
        <v>0</v>
      </c>
    </row>
    <row r="675" spans="1:8" ht="12">
      <c r="A675" s="78">
        <v>930000</v>
      </c>
      <c r="B675" s="153" t="s">
        <v>501</v>
      </c>
      <c r="C675" s="54">
        <f aca="true" t="shared" si="187" ref="C675:H675">C676+C680</f>
        <v>889755</v>
      </c>
      <c r="D675" s="54">
        <f t="shared" si="187"/>
        <v>2169493</v>
      </c>
      <c r="E675" s="54">
        <f t="shared" si="187"/>
        <v>2170493</v>
      </c>
      <c r="F675" s="54">
        <f t="shared" si="187"/>
        <v>890755</v>
      </c>
      <c r="G675" s="54">
        <f t="shared" si="187"/>
        <v>0</v>
      </c>
      <c r="H675" s="55">
        <f t="shared" si="187"/>
        <v>890755</v>
      </c>
    </row>
    <row r="676" spans="1:8" ht="12">
      <c r="A676" s="78">
        <v>934600</v>
      </c>
      <c r="B676" s="153" t="s">
        <v>502</v>
      </c>
      <c r="C676" s="54">
        <f aca="true" t="shared" si="188" ref="C676:H676">SUM(C677:C679)</f>
        <v>889755</v>
      </c>
      <c r="D676" s="118">
        <f t="shared" si="188"/>
        <v>0</v>
      </c>
      <c r="E676" s="118">
        <f t="shared" si="188"/>
        <v>1000</v>
      </c>
      <c r="F676" s="118">
        <f t="shared" si="188"/>
        <v>890755</v>
      </c>
      <c r="G676" s="118">
        <f t="shared" si="188"/>
        <v>0</v>
      </c>
      <c r="H676" s="119">
        <f t="shared" si="188"/>
        <v>890755</v>
      </c>
    </row>
    <row r="677" spans="1:8" ht="12">
      <c r="A677" s="78">
        <v>934606</v>
      </c>
      <c r="B677" s="154" t="s">
        <v>61</v>
      </c>
      <c r="C677" s="56">
        <v>822218</v>
      </c>
      <c r="D677" s="121">
        <v>0</v>
      </c>
      <c r="E677" s="121">
        <v>1000</v>
      </c>
      <c r="F677" s="27">
        <f>C677-D677+E677</f>
        <v>823218</v>
      </c>
      <c r="G677" s="121">
        <v>0</v>
      </c>
      <c r="H677" s="132">
        <f aca="true" t="shared" si="189" ref="H677:H682">+F677</f>
        <v>823218</v>
      </c>
    </row>
    <row r="678" spans="1:8" ht="12">
      <c r="A678" s="78">
        <v>934612</v>
      </c>
      <c r="B678" s="154" t="s">
        <v>21</v>
      </c>
      <c r="C678" s="56">
        <v>67537</v>
      </c>
      <c r="D678" s="121">
        <v>0</v>
      </c>
      <c r="E678" s="121">
        <v>0</v>
      </c>
      <c r="F678" s="27">
        <f>C678-D678+E678</f>
        <v>67537</v>
      </c>
      <c r="G678" s="121">
        <v>0</v>
      </c>
      <c r="H678" s="132">
        <f t="shared" si="189"/>
        <v>67537</v>
      </c>
    </row>
    <row r="679" spans="1:8" ht="12">
      <c r="A679" s="78">
        <v>934613</v>
      </c>
      <c r="B679" s="154" t="s">
        <v>127</v>
      </c>
      <c r="C679" s="56">
        <v>0</v>
      </c>
      <c r="D679" s="121">
        <v>0</v>
      </c>
      <c r="E679" s="121">
        <v>0</v>
      </c>
      <c r="F679" s="27">
        <f>+C679+D679-E679</f>
        <v>0</v>
      </c>
      <c r="G679" s="121">
        <v>0</v>
      </c>
      <c r="H679" s="132">
        <f t="shared" si="189"/>
        <v>0</v>
      </c>
    </row>
    <row r="680" spans="1:8" ht="24">
      <c r="A680" s="78">
        <v>939000</v>
      </c>
      <c r="B680" s="153" t="s">
        <v>503</v>
      </c>
      <c r="C680" s="54">
        <f aca="true" t="shared" si="190" ref="C680:H680">SUM(C681:C682)</f>
        <v>0</v>
      </c>
      <c r="D680" s="118">
        <f t="shared" si="190"/>
        <v>2169493</v>
      </c>
      <c r="E680" s="118">
        <f t="shared" si="190"/>
        <v>2169493</v>
      </c>
      <c r="F680" s="118">
        <f t="shared" si="190"/>
        <v>0</v>
      </c>
      <c r="G680" s="118">
        <f t="shared" si="190"/>
        <v>0</v>
      </c>
      <c r="H680" s="119">
        <f t="shared" si="190"/>
        <v>0</v>
      </c>
    </row>
    <row r="681" spans="1:8" ht="12">
      <c r="A681" s="78">
        <v>939002</v>
      </c>
      <c r="B681" s="154" t="s">
        <v>504</v>
      </c>
      <c r="C681" s="56">
        <v>0</v>
      </c>
      <c r="D681" s="121">
        <v>1990733</v>
      </c>
      <c r="E681" s="121">
        <v>1990733</v>
      </c>
      <c r="F681" s="27">
        <f>+C681+D681-E681</f>
        <v>0</v>
      </c>
      <c r="G681" s="121">
        <v>0</v>
      </c>
      <c r="H681" s="132">
        <f t="shared" si="189"/>
        <v>0</v>
      </c>
    </row>
    <row r="682" spans="1:8" ht="12">
      <c r="A682" s="78">
        <v>939090</v>
      </c>
      <c r="B682" s="154" t="s">
        <v>505</v>
      </c>
      <c r="C682" s="56">
        <v>0</v>
      </c>
      <c r="D682" s="121">
        <v>178760</v>
      </c>
      <c r="E682" s="121">
        <v>178760</v>
      </c>
      <c r="F682" s="27">
        <f>+C682+D682-E682</f>
        <v>0</v>
      </c>
      <c r="G682" s="121">
        <v>0</v>
      </c>
      <c r="H682" s="132">
        <f t="shared" si="189"/>
        <v>0</v>
      </c>
    </row>
    <row r="683" spans="1:8" ht="12">
      <c r="A683" s="78">
        <v>990000</v>
      </c>
      <c r="B683" s="153" t="s">
        <v>506</v>
      </c>
      <c r="C683" s="54">
        <f aca="true" t="shared" si="191" ref="C683:H683">C684+C688</f>
        <v>-324195728</v>
      </c>
      <c r="D683" s="54">
        <f t="shared" si="191"/>
        <v>1656488528</v>
      </c>
      <c r="E683" s="54">
        <f t="shared" si="191"/>
        <v>97374991</v>
      </c>
      <c r="F683" s="54">
        <f t="shared" si="191"/>
        <v>-1883309265</v>
      </c>
      <c r="G683" s="54">
        <f t="shared" si="191"/>
        <v>0</v>
      </c>
      <c r="H683" s="55">
        <f t="shared" si="191"/>
        <v>-1883309265</v>
      </c>
    </row>
    <row r="684" spans="1:8" ht="24">
      <c r="A684" s="78">
        <v>990500</v>
      </c>
      <c r="B684" s="153" t="s">
        <v>507</v>
      </c>
      <c r="C684" s="54">
        <f aca="true" t="shared" si="192" ref="C684:H684">SUM(C685:C687)</f>
        <v>-323305973</v>
      </c>
      <c r="D684" s="118">
        <f t="shared" si="192"/>
        <v>1656487528</v>
      </c>
      <c r="E684" s="118">
        <f t="shared" si="192"/>
        <v>97374991</v>
      </c>
      <c r="F684" s="118">
        <f t="shared" si="192"/>
        <v>-1882418510</v>
      </c>
      <c r="G684" s="118">
        <f t="shared" si="192"/>
        <v>0</v>
      </c>
      <c r="H684" s="119">
        <f t="shared" si="192"/>
        <v>-1882418510</v>
      </c>
    </row>
    <row r="685" spans="1:8" ht="12">
      <c r="A685" s="78">
        <v>990505</v>
      </c>
      <c r="B685" s="154" t="s">
        <v>508</v>
      </c>
      <c r="C685" s="56">
        <v>0</v>
      </c>
      <c r="D685" s="121">
        <v>1656170804</v>
      </c>
      <c r="E685" s="121">
        <v>0</v>
      </c>
      <c r="F685" s="27">
        <f>C685-D685+E685</f>
        <v>-1656170804</v>
      </c>
      <c r="G685" s="121">
        <v>0</v>
      </c>
      <c r="H685" s="132">
        <f aca="true" t="shared" si="193" ref="H685:H690">+F685</f>
        <v>-1656170804</v>
      </c>
    </row>
    <row r="686" spans="1:8" ht="12">
      <c r="A686" s="78">
        <v>990508</v>
      </c>
      <c r="B686" s="154" t="s">
        <v>509</v>
      </c>
      <c r="C686" s="56">
        <v>-323305973</v>
      </c>
      <c r="D686" s="121">
        <v>316724</v>
      </c>
      <c r="E686" s="121">
        <v>97374991</v>
      </c>
      <c r="F686" s="27">
        <f>C686-D686+E686</f>
        <v>-226247706</v>
      </c>
      <c r="G686" s="121">
        <f>-G671</f>
        <v>0</v>
      </c>
      <c r="H686" s="132">
        <f t="shared" si="193"/>
        <v>-226247706</v>
      </c>
    </row>
    <row r="687" spans="1:8" ht="12">
      <c r="A687" s="78">
        <v>990590</v>
      </c>
      <c r="B687" s="154" t="s">
        <v>505</v>
      </c>
      <c r="C687" s="56">
        <v>0</v>
      </c>
      <c r="D687" s="121">
        <v>0</v>
      </c>
      <c r="E687" s="121">
        <v>0</v>
      </c>
      <c r="F687" s="27">
        <f>+C687+D687-E687</f>
        <v>0</v>
      </c>
      <c r="G687" s="121">
        <v>0</v>
      </c>
      <c r="H687" s="132">
        <f t="shared" si="193"/>
        <v>0</v>
      </c>
    </row>
    <row r="688" spans="1:8" ht="24">
      <c r="A688" s="78">
        <v>991500</v>
      </c>
      <c r="B688" s="153" t="s">
        <v>507</v>
      </c>
      <c r="C688" s="54">
        <f aca="true" t="shared" si="194" ref="C688:H688">SUM(C689:C690)</f>
        <v>-889755</v>
      </c>
      <c r="D688" s="118">
        <f t="shared" si="194"/>
        <v>1000</v>
      </c>
      <c r="E688" s="118">
        <f t="shared" si="194"/>
        <v>0</v>
      </c>
      <c r="F688" s="118">
        <f t="shared" si="194"/>
        <v>-890755</v>
      </c>
      <c r="G688" s="118">
        <f t="shared" si="194"/>
        <v>0</v>
      </c>
      <c r="H688" s="119">
        <f t="shared" si="194"/>
        <v>-890755</v>
      </c>
    </row>
    <row r="689" spans="1:8" ht="12">
      <c r="A689" s="78">
        <v>991506</v>
      </c>
      <c r="B689" s="154" t="s">
        <v>510</v>
      </c>
      <c r="C689" s="56">
        <v>-889755</v>
      </c>
      <c r="D689" s="121">
        <v>1000</v>
      </c>
      <c r="E689" s="121"/>
      <c r="F689" s="27">
        <f>C689-D689+E689</f>
        <v>-890755</v>
      </c>
      <c r="G689" s="121">
        <v>0</v>
      </c>
      <c r="H689" s="132">
        <f t="shared" si="193"/>
        <v>-890755</v>
      </c>
    </row>
    <row r="690" spans="1:8" ht="12">
      <c r="A690" s="78">
        <v>991590</v>
      </c>
      <c r="B690" s="154" t="s">
        <v>505</v>
      </c>
      <c r="C690" s="56">
        <v>0</v>
      </c>
      <c r="D690" s="121"/>
      <c r="E690" s="121"/>
      <c r="F690" s="27">
        <f>+C690+D690-E690</f>
        <v>0</v>
      </c>
      <c r="G690" s="121">
        <f>-G682-G681</f>
        <v>0</v>
      </c>
      <c r="H690" s="132">
        <f t="shared" si="193"/>
        <v>0</v>
      </c>
    </row>
    <row r="691" spans="1:8" ht="24">
      <c r="A691" s="82">
        <v>0</v>
      </c>
      <c r="B691" s="155" t="s">
        <v>511</v>
      </c>
      <c r="C691" s="54">
        <f aca="true" t="shared" si="195" ref="C691:H691">C692+C713+C827+C850+C866+C869+C872</f>
        <v>0</v>
      </c>
      <c r="D691" s="54">
        <f t="shared" si="195"/>
        <v>3278428660</v>
      </c>
      <c r="E691" s="54">
        <f t="shared" si="195"/>
        <v>3278428660</v>
      </c>
      <c r="F691" s="54">
        <f t="shared" si="195"/>
        <v>0</v>
      </c>
      <c r="G691" s="118">
        <f t="shared" si="195"/>
        <v>0</v>
      </c>
      <c r="H691" s="55">
        <f t="shared" si="195"/>
        <v>0</v>
      </c>
    </row>
    <row r="692" spans="1:8" ht="12">
      <c r="A692" s="82">
        <v>20000</v>
      </c>
      <c r="B692" s="155" t="s">
        <v>512</v>
      </c>
      <c r="C692" s="54">
        <f>C693+C696+C699+C702+C705+C707+C709+C711</f>
        <v>0</v>
      </c>
      <c r="D692" s="54">
        <f>D693+D696+D699+D702+D705+D707+D709+D711</f>
        <v>0</v>
      </c>
      <c r="E692" s="54">
        <f>E693+E696+E699+E702+E705+E707+E709+E711</f>
        <v>0</v>
      </c>
      <c r="F692" s="54">
        <f>F693+F696+F699+F702+F705+F707+F709+F711</f>
        <v>0</v>
      </c>
      <c r="G692" s="118">
        <f>G693-G696-G699-G702+G705+G707-G709-G711</f>
        <v>0</v>
      </c>
      <c r="H692" s="55">
        <f>H693+H696+H699+H702+H705+H707+H709+H711</f>
        <v>0</v>
      </c>
    </row>
    <row r="693" spans="1:8" ht="12">
      <c r="A693" s="82">
        <v>20100</v>
      </c>
      <c r="B693" s="155" t="s">
        <v>513</v>
      </c>
      <c r="C693" s="54">
        <f aca="true" t="shared" si="196" ref="C693:H693">SUM(C694:C695)</f>
        <v>5011635</v>
      </c>
      <c r="D693" s="54">
        <f t="shared" si="196"/>
        <v>0</v>
      </c>
      <c r="E693" s="54">
        <f t="shared" si="196"/>
        <v>0</v>
      </c>
      <c r="F693" s="54">
        <f t="shared" si="196"/>
        <v>5011635</v>
      </c>
      <c r="G693" s="54">
        <f t="shared" si="196"/>
        <v>0</v>
      </c>
      <c r="H693" s="55">
        <f t="shared" si="196"/>
        <v>5011635</v>
      </c>
    </row>
    <row r="694" spans="1:8" ht="12">
      <c r="A694" s="82">
        <v>20147</v>
      </c>
      <c r="B694" s="156" t="s">
        <v>514</v>
      </c>
      <c r="C694" s="56">
        <v>3461635</v>
      </c>
      <c r="D694" s="121">
        <v>0</v>
      </c>
      <c r="E694" s="121"/>
      <c r="F694" s="27">
        <f>C694+D694-E694</f>
        <v>3461635</v>
      </c>
      <c r="G694" s="118"/>
      <c r="H694" s="120">
        <f>+F694</f>
        <v>3461635</v>
      </c>
    </row>
    <row r="695" spans="1:8" ht="12">
      <c r="A695" s="82">
        <v>20160</v>
      </c>
      <c r="B695" s="156" t="s">
        <v>515</v>
      </c>
      <c r="C695" s="56">
        <v>1550000</v>
      </c>
      <c r="D695" s="121">
        <v>0</v>
      </c>
      <c r="E695" s="121"/>
      <c r="F695" s="27">
        <f>C695+D695-E695</f>
        <v>1550000</v>
      </c>
      <c r="G695" s="121">
        <v>0</v>
      </c>
      <c r="H695" s="120">
        <f>+F695</f>
        <v>1550000</v>
      </c>
    </row>
    <row r="696" spans="1:8" ht="12">
      <c r="A696" s="82">
        <v>20600</v>
      </c>
      <c r="B696" s="155" t="s">
        <v>516</v>
      </c>
      <c r="C696" s="56">
        <f aca="true" t="shared" si="197" ref="C696:H696">SUM(C697:C698)</f>
        <v>-2725432</v>
      </c>
      <c r="D696" s="121">
        <f t="shared" si="197"/>
        <v>0</v>
      </c>
      <c r="E696" s="121">
        <v>0</v>
      </c>
      <c r="F696" s="121">
        <f t="shared" si="197"/>
        <v>-2725432</v>
      </c>
      <c r="G696" s="121">
        <f t="shared" si="197"/>
        <v>0</v>
      </c>
      <c r="H696" s="120">
        <f t="shared" si="197"/>
        <v>-2725432</v>
      </c>
    </row>
    <row r="697" spans="1:8" ht="12">
      <c r="A697" s="82">
        <v>20647</v>
      </c>
      <c r="B697" s="156" t="s">
        <v>514</v>
      </c>
      <c r="C697" s="56">
        <v>-1379230</v>
      </c>
      <c r="D697" s="121">
        <v>0</v>
      </c>
      <c r="E697" s="121">
        <v>0</v>
      </c>
      <c r="F697" s="27">
        <f>C697+D697-E697</f>
        <v>-1379230</v>
      </c>
      <c r="G697" s="121"/>
      <c r="H697" s="120">
        <f>+F697</f>
        <v>-1379230</v>
      </c>
    </row>
    <row r="698" spans="1:8" ht="12">
      <c r="A698" s="82">
        <v>20660</v>
      </c>
      <c r="B698" s="156" t="s">
        <v>515</v>
      </c>
      <c r="C698" s="56">
        <v>-1346202</v>
      </c>
      <c r="D698" s="121">
        <v>0</v>
      </c>
      <c r="E698" s="121">
        <v>0</v>
      </c>
      <c r="F698" s="27">
        <f>C698+D698-E698</f>
        <v>-1346202</v>
      </c>
      <c r="G698" s="121"/>
      <c r="H698" s="120">
        <f>+F698</f>
        <v>-1346202</v>
      </c>
    </row>
    <row r="699" spans="1:8" ht="12">
      <c r="A699" s="82">
        <v>21100</v>
      </c>
      <c r="B699" s="155" t="s">
        <v>517</v>
      </c>
      <c r="C699" s="54">
        <f aca="true" t="shared" si="198" ref="C699:H699">SUM(C700:C701)</f>
        <v>-2286203</v>
      </c>
      <c r="D699" s="118">
        <f t="shared" si="198"/>
        <v>0</v>
      </c>
      <c r="E699" s="118">
        <f t="shared" si="198"/>
        <v>0</v>
      </c>
      <c r="F699" s="118">
        <f t="shared" si="198"/>
        <v>-2286203</v>
      </c>
      <c r="G699" s="118">
        <f t="shared" si="198"/>
        <v>0</v>
      </c>
      <c r="H699" s="119">
        <f t="shared" si="198"/>
        <v>-2286203</v>
      </c>
    </row>
    <row r="700" spans="1:8" ht="12">
      <c r="A700" s="82">
        <v>21147</v>
      </c>
      <c r="B700" s="156" t="s">
        <v>514</v>
      </c>
      <c r="C700" s="56">
        <v>-2082405</v>
      </c>
      <c r="D700" s="121">
        <v>0</v>
      </c>
      <c r="E700" s="121">
        <v>0</v>
      </c>
      <c r="F700" s="27">
        <f>C700+D700-E700</f>
        <v>-2082405</v>
      </c>
      <c r="G700" s="118"/>
      <c r="H700" s="120">
        <f>+F700</f>
        <v>-2082405</v>
      </c>
    </row>
    <row r="701" spans="1:8" ht="12">
      <c r="A701" s="82">
        <v>21160</v>
      </c>
      <c r="B701" s="156" t="s">
        <v>515</v>
      </c>
      <c r="C701" s="56">
        <v>-203798</v>
      </c>
      <c r="D701" s="121">
        <v>0</v>
      </c>
      <c r="E701" s="121">
        <v>0</v>
      </c>
      <c r="F701" s="27">
        <f>C701+D701-E701</f>
        <v>-203798</v>
      </c>
      <c r="G701" s="118"/>
      <c r="H701" s="120">
        <f>+F701</f>
        <v>-203798</v>
      </c>
    </row>
    <row r="702" spans="1:8" ht="12">
      <c r="A702" s="82">
        <v>24100</v>
      </c>
      <c r="B702" s="155" t="s">
        <v>518</v>
      </c>
      <c r="C702" s="54">
        <f aca="true" t="shared" si="199" ref="C702:H702">SUM(C703:C704)</f>
        <v>0</v>
      </c>
      <c r="D702" s="118">
        <f t="shared" si="199"/>
        <v>0</v>
      </c>
      <c r="E702" s="118">
        <f t="shared" si="199"/>
        <v>0</v>
      </c>
      <c r="F702" s="118">
        <f t="shared" si="199"/>
        <v>0</v>
      </c>
      <c r="G702" s="118">
        <f t="shared" si="199"/>
        <v>0</v>
      </c>
      <c r="H702" s="119">
        <f t="shared" si="199"/>
        <v>0</v>
      </c>
    </row>
    <row r="703" spans="1:8" ht="12">
      <c r="A703" s="82">
        <v>24102</v>
      </c>
      <c r="B703" s="156" t="s">
        <v>519</v>
      </c>
      <c r="C703" s="56">
        <v>0</v>
      </c>
      <c r="D703" s="121">
        <v>0</v>
      </c>
      <c r="E703" s="121"/>
      <c r="F703" s="27">
        <f>C703-D703+E703</f>
        <v>0</v>
      </c>
      <c r="G703" s="118"/>
      <c r="H703" s="120"/>
    </row>
    <row r="704" spans="1:8" ht="12">
      <c r="A704" s="82">
        <v>24108</v>
      </c>
      <c r="B704" s="156" t="s">
        <v>520</v>
      </c>
      <c r="C704" s="56"/>
      <c r="D704" s="121">
        <f>+D705</f>
        <v>0</v>
      </c>
      <c r="E704" s="121"/>
      <c r="F704" s="27"/>
      <c r="G704" s="118"/>
      <c r="H704" s="120"/>
    </row>
    <row r="705" spans="1:8" ht="24">
      <c r="A705" s="82">
        <v>24600</v>
      </c>
      <c r="B705" s="155" t="s">
        <v>521</v>
      </c>
      <c r="C705" s="54">
        <f aca="true" t="shared" si="200" ref="C705:H705">SUM(C706)</f>
        <v>0</v>
      </c>
      <c r="D705" s="118">
        <f t="shared" si="200"/>
        <v>0</v>
      </c>
      <c r="E705" s="118">
        <f t="shared" si="200"/>
        <v>0</v>
      </c>
      <c r="F705" s="118">
        <f t="shared" si="200"/>
        <v>0</v>
      </c>
      <c r="G705" s="118">
        <f t="shared" si="200"/>
        <v>0</v>
      </c>
      <c r="H705" s="119">
        <f t="shared" si="200"/>
        <v>0</v>
      </c>
    </row>
    <row r="706" spans="1:8" ht="12">
      <c r="A706" s="82">
        <v>24647</v>
      </c>
      <c r="B706" s="156" t="s">
        <v>514</v>
      </c>
      <c r="C706" s="56">
        <v>0</v>
      </c>
      <c r="D706" s="121">
        <f>+D707</f>
        <v>0</v>
      </c>
      <c r="E706" s="121">
        <v>0</v>
      </c>
      <c r="F706" s="27">
        <f>+C706+D706-E706</f>
        <v>0</v>
      </c>
      <c r="G706" s="118"/>
      <c r="H706" s="120"/>
    </row>
    <row r="707" spans="1:8" ht="24">
      <c r="A707" s="82">
        <v>25100</v>
      </c>
      <c r="B707" s="155" t="s">
        <v>522</v>
      </c>
      <c r="C707" s="56">
        <f aca="true" t="shared" si="201" ref="C707:H707">SUM(C708)</f>
        <v>0</v>
      </c>
      <c r="D707" s="121">
        <f t="shared" si="201"/>
        <v>0</v>
      </c>
      <c r="E707" s="121">
        <f t="shared" si="201"/>
        <v>0</v>
      </c>
      <c r="F707" s="121">
        <f t="shared" si="201"/>
        <v>0</v>
      </c>
      <c r="G707" s="121">
        <f t="shared" si="201"/>
        <v>0</v>
      </c>
      <c r="H707" s="120">
        <f t="shared" si="201"/>
        <v>0</v>
      </c>
    </row>
    <row r="708" spans="1:8" ht="12">
      <c r="A708" s="82">
        <v>25102</v>
      </c>
      <c r="B708" s="156" t="s">
        <v>519</v>
      </c>
      <c r="C708" s="56"/>
      <c r="D708" s="118"/>
      <c r="E708" s="118"/>
      <c r="F708" s="27"/>
      <c r="G708" s="118"/>
      <c r="H708" s="120"/>
    </row>
    <row r="709" spans="1:8" ht="24">
      <c r="A709" s="82">
        <v>25600</v>
      </c>
      <c r="B709" s="155" t="s">
        <v>523</v>
      </c>
      <c r="C709" s="56">
        <f aca="true" t="shared" si="202" ref="C709:H709">SUM(C710)</f>
        <v>0</v>
      </c>
      <c r="D709" s="121">
        <f t="shared" si="202"/>
        <v>0</v>
      </c>
      <c r="E709" s="121">
        <f t="shared" si="202"/>
        <v>0</v>
      </c>
      <c r="F709" s="121">
        <f t="shared" si="202"/>
        <v>0</v>
      </c>
      <c r="G709" s="121">
        <f t="shared" si="202"/>
        <v>0</v>
      </c>
      <c r="H709" s="120">
        <f t="shared" si="202"/>
        <v>0</v>
      </c>
    </row>
    <row r="710" spans="1:8" ht="12">
      <c r="A710" s="82">
        <v>25602</v>
      </c>
      <c r="B710" s="156" t="s">
        <v>514</v>
      </c>
      <c r="C710" s="56"/>
      <c r="D710" s="118"/>
      <c r="E710" s="118"/>
      <c r="F710" s="27"/>
      <c r="G710" s="118"/>
      <c r="H710" s="120"/>
    </row>
    <row r="711" spans="1:8" ht="24">
      <c r="A711" s="82">
        <v>26100</v>
      </c>
      <c r="B711" s="155" t="s">
        <v>521</v>
      </c>
      <c r="C711" s="54">
        <f aca="true" t="shared" si="203" ref="C711:H711">SUM(C712)</f>
        <v>0</v>
      </c>
      <c r="D711" s="118">
        <f t="shared" si="203"/>
        <v>0</v>
      </c>
      <c r="E711" s="118">
        <f t="shared" si="203"/>
        <v>0</v>
      </c>
      <c r="F711" s="118">
        <f t="shared" si="203"/>
        <v>0</v>
      </c>
      <c r="G711" s="118">
        <f t="shared" si="203"/>
        <v>0</v>
      </c>
      <c r="H711" s="119">
        <f t="shared" si="203"/>
        <v>0</v>
      </c>
    </row>
    <row r="712" spans="1:8" ht="12">
      <c r="A712" s="82">
        <v>26102</v>
      </c>
      <c r="B712" s="156" t="s">
        <v>514</v>
      </c>
      <c r="C712" s="56">
        <v>0</v>
      </c>
      <c r="D712" s="121">
        <v>0</v>
      </c>
      <c r="E712" s="121">
        <v>0</v>
      </c>
      <c r="F712" s="27">
        <f>+C712+D712-E712</f>
        <v>0</v>
      </c>
      <c r="G712" s="118"/>
      <c r="H712" s="120"/>
    </row>
    <row r="713" spans="1:8" ht="12">
      <c r="A713" s="82">
        <v>30000</v>
      </c>
      <c r="B713" s="145" t="s">
        <v>524</v>
      </c>
      <c r="C713" s="54">
        <f aca="true" t="shared" si="204" ref="C713:H713">C714+C732+C751+C770+C789+C808</f>
        <v>0</v>
      </c>
      <c r="D713" s="54">
        <f t="shared" si="204"/>
        <v>3210140778</v>
      </c>
      <c r="E713" s="54">
        <f t="shared" si="204"/>
        <v>3210140778</v>
      </c>
      <c r="F713" s="54">
        <f t="shared" si="204"/>
        <v>0</v>
      </c>
      <c r="G713" s="54">
        <f t="shared" si="204"/>
        <v>0</v>
      </c>
      <c r="H713" s="55">
        <f t="shared" si="204"/>
        <v>0</v>
      </c>
    </row>
    <row r="714" spans="1:8" ht="12">
      <c r="A714" s="82">
        <v>30500</v>
      </c>
      <c r="B714" s="153" t="s">
        <v>525</v>
      </c>
      <c r="C714" s="54">
        <f aca="true" t="shared" si="205" ref="C714:H714">SUM(C715:C731)</f>
        <v>-13125475059</v>
      </c>
      <c r="D714" s="118">
        <f t="shared" si="205"/>
        <v>1138349</v>
      </c>
      <c r="E714" s="118">
        <f t="shared" si="205"/>
        <v>9623349</v>
      </c>
      <c r="F714" s="118">
        <f t="shared" si="205"/>
        <v>-13133960059</v>
      </c>
      <c r="G714" s="118">
        <f t="shared" si="205"/>
        <v>0</v>
      </c>
      <c r="H714" s="119">
        <f t="shared" si="205"/>
        <v>-13133960059</v>
      </c>
    </row>
    <row r="715" spans="1:10" ht="24">
      <c r="A715" s="82">
        <v>30511</v>
      </c>
      <c r="B715" s="154" t="s">
        <v>526</v>
      </c>
      <c r="C715" s="56">
        <v>-13361386</v>
      </c>
      <c r="D715" s="121">
        <v>0</v>
      </c>
      <c r="E715" s="121">
        <v>0</v>
      </c>
      <c r="F715" s="27">
        <f>C715+D715-E715</f>
        <v>-13361386</v>
      </c>
      <c r="G715" s="121">
        <v>0</v>
      </c>
      <c r="H715" s="120">
        <f aca="true" t="shared" si="206" ref="H715:H731">+F715</f>
        <v>-13361386</v>
      </c>
      <c r="I715" s="37"/>
      <c r="J715" s="37"/>
    </row>
    <row r="716" spans="1:9" ht="12">
      <c r="A716" s="82">
        <v>30512</v>
      </c>
      <c r="B716" s="154" t="s">
        <v>527</v>
      </c>
      <c r="C716" s="56">
        <v>-2148213</v>
      </c>
      <c r="D716" s="121">
        <v>0</v>
      </c>
      <c r="E716" s="121">
        <v>0</v>
      </c>
      <c r="F716" s="27">
        <f aca="true" t="shared" si="207" ref="F716:F731">C716+D716-E716</f>
        <v>-2148213</v>
      </c>
      <c r="G716" s="121">
        <v>0</v>
      </c>
      <c r="H716" s="120">
        <f t="shared" si="206"/>
        <v>-2148213</v>
      </c>
      <c r="I716" s="37"/>
    </row>
    <row r="717" spans="1:9" ht="24">
      <c r="A717" s="82">
        <v>30513</v>
      </c>
      <c r="B717" s="154" t="s">
        <v>528</v>
      </c>
      <c r="C717" s="56">
        <v>-970098</v>
      </c>
      <c r="D717" s="121">
        <v>0</v>
      </c>
      <c r="E717" s="121">
        <v>0</v>
      </c>
      <c r="F717" s="27">
        <f t="shared" si="207"/>
        <v>-970098</v>
      </c>
      <c r="G717" s="121">
        <v>0</v>
      </c>
      <c r="H717" s="120">
        <f t="shared" si="206"/>
        <v>-970098</v>
      </c>
      <c r="I717" s="37"/>
    </row>
    <row r="718" spans="1:9" ht="24">
      <c r="A718" s="82">
        <v>30514</v>
      </c>
      <c r="B718" s="154" t="s">
        <v>529</v>
      </c>
      <c r="C718" s="56">
        <v>-2937058</v>
      </c>
      <c r="D718" s="121">
        <v>0</v>
      </c>
      <c r="E718" s="121">
        <v>0</v>
      </c>
      <c r="F718" s="27">
        <f t="shared" si="207"/>
        <v>-2937058</v>
      </c>
      <c r="G718" s="121">
        <v>0</v>
      </c>
      <c r="H718" s="120">
        <f t="shared" si="206"/>
        <v>-2937058</v>
      </c>
      <c r="I718" s="37"/>
    </row>
    <row r="719" spans="1:9" ht="12">
      <c r="A719" s="82">
        <v>30515</v>
      </c>
      <c r="B719" s="154" t="s">
        <v>530</v>
      </c>
      <c r="C719" s="56">
        <v>-1795676</v>
      </c>
      <c r="D719" s="121">
        <v>0</v>
      </c>
      <c r="E719" s="121">
        <v>50000</v>
      </c>
      <c r="F719" s="27">
        <f t="shared" si="207"/>
        <v>-1845676</v>
      </c>
      <c r="G719" s="121">
        <v>0</v>
      </c>
      <c r="H719" s="120">
        <f t="shared" si="206"/>
        <v>-1845676</v>
      </c>
      <c r="I719" s="37"/>
    </row>
    <row r="720" spans="1:9" ht="12">
      <c r="A720" s="82">
        <v>30516</v>
      </c>
      <c r="B720" s="154" t="s">
        <v>531</v>
      </c>
      <c r="C720" s="56">
        <v>-2914200</v>
      </c>
      <c r="D720" s="121">
        <v>0</v>
      </c>
      <c r="E720" s="121">
        <v>0</v>
      </c>
      <c r="F720" s="27">
        <f t="shared" si="207"/>
        <v>-2914200</v>
      </c>
      <c r="G720" s="121">
        <v>0</v>
      </c>
      <c r="H720" s="120">
        <f t="shared" si="206"/>
        <v>-2914200</v>
      </c>
      <c r="I720" s="37"/>
    </row>
    <row r="721" spans="1:9" ht="12">
      <c r="A721" s="82">
        <v>30517</v>
      </c>
      <c r="B721" s="154" t="s">
        <v>532</v>
      </c>
      <c r="C721" s="56">
        <v>-90588</v>
      </c>
      <c r="D721" s="121">
        <v>0</v>
      </c>
      <c r="E721" s="121">
        <v>0</v>
      </c>
      <c r="F721" s="27">
        <f t="shared" si="207"/>
        <v>-90588</v>
      </c>
      <c r="G721" s="121">
        <v>0</v>
      </c>
      <c r="H721" s="120">
        <f t="shared" si="206"/>
        <v>-90588</v>
      </c>
      <c r="I721" s="37"/>
    </row>
    <row r="722" spans="1:9" ht="12">
      <c r="A722" s="82" t="s">
        <v>533</v>
      </c>
      <c r="B722" s="154" t="s">
        <v>515</v>
      </c>
      <c r="C722" s="56">
        <v>-34718643</v>
      </c>
      <c r="D722" s="121">
        <v>0</v>
      </c>
      <c r="E722" s="121">
        <v>0</v>
      </c>
      <c r="F722" s="27">
        <f t="shared" si="207"/>
        <v>-34718643</v>
      </c>
      <c r="G722" s="121">
        <v>0</v>
      </c>
      <c r="H722" s="120">
        <f t="shared" si="206"/>
        <v>-34718643</v>
      </c>
      <c r="I722" s="37"/>
    </row>
    <row r="723" spans="1:9" ht="12">
      <c r="A723" s="82">
        <v>30521</v>
      </c>
      <c r="B723" s="154" t="s">
        <v>534</v>
      </c>
      <c r="C723" s="56">
        <v>-2238141</v>
      </c>
      <c r="D723" s="121">
        <v>0</v>
      </c>
      <c r="E723" s="121">
        <v>0</v>
      </c>
      <c r="F723" s="27">
        <f t="shared" si="207"/>
        <v>-2238141</v>
      </c>
      <c r="G723" s="121">
        <v>0</v>
      </c>
      <c r="H723" s="120">
        <f t="shared" si="206"/>
        <v>-2238141</v>
      </c>
      <c r="I723" s="37"/>
    </row>
    <row r="724" spans="1:9" ht="24">
      <c r="A724" s="82">
        <v>30532</v>
      </c>
      <c r="B724" s="154" t="s">
        <v>535</v>
      </c>
      <c r="C724" s="56">
        <v>-3942052</v>
      </c>
      <c r="D724" s="121">
        <v>0</v>
      </c>
      <c r="E724" s="121">
        <v>0</v>
      </c>
      <c r="F724" s="27">
        <f t="shared" si="207"/>
        <v>-3942052</v>
      </c>
      <c r="G724" s="121">
        <v>0</v>
      </c>
      <c r="H724" s="120">
        <f t="shared" si="206"/>
        <v>-3942052</v>
      </c>
      <c r="I724" s="37"/>
    </row>
    <row r="725" spans="1:9" ht="24">
      <c r="A725" s="82">
        <v>30534</v>
      </c>
      <c r="B725" s="154" t="s">
        <v>536</v>
      </c>
      <c r="C725" s="56">
        <v>-1895547</v>
      </c>
      <c r="D725" s="121">
        <v>1088349</v>
      </c>
      <c r="E725" s="121">
        <v>0</v>
      </c>
      <c r="F725" s="27">
        <f t="shared" si="207"/>
        <v>-807198</v>
      </c>
      <c r="G725" s="121">
        <v>0</v>
      </c>
      <c r="H725" s="120">
        <f t="shared" si="206"/>
        <v>-807198</v>
      </c>
      <c r="I725" s="37"/>
    </row>
    <row r="726" spans="1:9" ht="24">
      <c r="A726" s="82">
        <v>30538</v>
      </c>
      <c r="B726" s="154" t="s">
        <v>537</v>
      </c>
      <c r="C726" s="56">
        <v>-2070498547</v>
      </c>
      <c r="D726" s="121">
        <v>0</v>
      </c>
      <c r="E726" s="121">
        <v>0</v>
      </c>
      <c r="F726" s="27">
        <f t="shared" si="207"/>
        <v>-2070498547</v>
      </c>
      <c r="G726" s="121">
        <v>0</v>
      </c>
      <c r="H726" s="120">
        <f t="shared" si="206"/>
        <v>-2070498547</v>
      </c>
      <c r="I726" s="37"/>
    </row>
    <row r="727" spans="1:9" ht="24">
      <c r="A727" s="82">
        <v>30543</v>
      </c>
      <c r="B727" s="154" t="s">
        <v>538</v>
      </c>
      <c r="C727" s="56">
        <v>-6945579</v>
      </c>
      <c r="D727" s="121">
        <v>0</v>
      </c>
      <c r="E727" s="121">
        <v>0</v>
      </c>
      <c r="F727" s="27">
        <f t="shared" si="207"/>
        <v>-6945579</v>
      </c>
      <c r="G727" s="121">
        <v>0</v>
      </c>
      <c r="H727" s="120">
        <f t="shared" si="206"/>
        <v>-6945579</v>
      </c>
      <c r="I727" s="37"/>
    </row>
    <row r="728" spans="1:9" ht="24">
      <c r="A728" s="82">
        <v>30544</v>
      </c>
      <c r="B728" s="154" t="s">
        <v>539</v>
      </c>
      <c r="C728" s="56">
        <v>-5250000</v>
      </c>
      <c r="D728" s="121">
        <v>50000</v>
      </c>
      <c r="E728" s="121">
        <v>0</v>
      </c>
      <c r="F728" s="27">
        <f t="shared" si="207"/>
        <v>-5200000</v>
      </c>
      <c r="G728" s="121">
        <v>0</v>
      </c>
      <c r="H728" s="120">
        <f t="shared" si="206"/>
        <v>-5200000</v>
      </c>
      <c r="I728" s="37"/>
    </row>
    <row r="729" spans="1:9" ht="12">
      <c r="A729" s="82">
        <v>30546</v>
      </c>
      <c r="B729" s="154" t="s">
        <v>540</v>
      </c>
      <c r="C729" s="56">
        <v>-1446164477</v>
      </c>
      <c r="D729" s="121">
        <v>0</v>
      </c>
      <c r="E729" s="121">
        <v>1088349</v>
      </c>
      <c r="F729" s="27">
        <f t="shared" si="207"/>
        <v>-1447252826</v>
      </c>
      <c r="G729" s="121">
        <v>0</v>
      </c>
      <c r="H729" s="120">
        <f t="shared" si="206"/>
        <v>-1447252826</v>
      </c>
      <c r="I729" s="37"/>
    </row>
    <row r="730" spans="1:9" ht="12">
      <c r="A730" s="82">
        <v>30558</v>
      </c>
      <c r="B730" s="154" t="s">
        <v>541</v>
      </c>
      <c r="C730" s="56">
        <v>-359242709</v>
      </c>
      <c r="D730" s="121">
        <v>0</v>
      </c>
      <c r="E730" s="121">
        <v>8485000</v>
      </c>
      <c r="F730" s="27">
        <f t="shared" si="207"/>
        <v>-367727709</v>
      </c>
      <c r="G730" s="121">
        <v>0</v>
      </c>
      <c r="H730" s="120">
        <f t="shared" si="206"/>
        <v>-367727709</v>
      </c>
      <c r="I730" s="37"/>
    </row>
    <row r="731" spans="1:9" ht="12">
      <c r="A731" s="82">
        <v>30591</v>
      </c>
      <c r="B731" s="154" t="s">
        <v>542</v>
      </c>
      <c r="C731" s="56">
        <v>-9170362145</v>
      </c>
      <c r="D731" s="121">
        <v>0</v>
      </c>
      <c r="E731" s="121">
        <v>0</v>
      </c>
      <c r="F731" s="27">
        <f t="shared" si="207"/>
        <v>-9170362145</v>
      </c>
      <c r="G731" s="121">
        <v>0</v>
      </c>
      <c r="H731" s="120">
        <f t="shared" si="206"/>
        <v>-9170362145</v>
      </c>
      <c r="I731" s="37"/>
    </row>
    <row r="732" spans="1:9" ht="12">
      <c r="A732" s="82">
        <v>31000</v>
      </c>
      <c r="B732" s="153" t="s">
        <v>543</v>
      </c>
      <c r="C732" s="54">
        <f aca="true" t="shared" si="208" ref="C732:H732">SUM(C733:C750)</f>
        <v>1631475060</v>
      </c>
      <c r="D732" s="118">
        <f t="shared" si="208"/>
        <v>3848513</v>
      </c>
      <c r="E732" s="118">
        <f t="shared" si="208"/>
        <v>263914748</v>
      </c>
      <c r="F732" s="118">
        <f t="shared" si="208"/>
        <v>1371408825</v>
      </c>
      <c r="G732" s="118">
        <f t="shared" si="208"/>
        <v>0</v>
      </c>
      <c r="H732" s="119">
        <f t="shared" si="208"/>
        <v>1371408825</v>
      </c>
      <c r="I732" s="37"/>
    </row>
    <row r="733" spans="1:9" ht="24">
      <c r="A733" s="82">
        <v>31011</v>
      </c>
      <c r="B733" s="154" t="s">
        <v>526</v>
      </c>
      <c r="C733" s="56">
        <v>33017</v>
      </c>
      <c r="D733" s="121">
        <f>676808+2</f>
        <v>676810</v>
      </c>
      <c r="E733" s="121">
        <v>0</v>
      </c>
      <c r="F733" s="27">
        <f>C733+D733-E733</f>
        <v>709827</v>
      </c>
      <c r="G733" s="121">
        <v>0</v>
      </c>
      <c r="H733" s="120">
        <f>F733</f>
        <v>709827</v>
      </c>
      <c r="I733" s="37"/>
    </row>
    <row r="734" spans="1:9" ht="12">
      <c r="A734" s="82">
        <v>31012</v>
      </c>
      <c r="B734" s="154" t="s">
        <v>527</v>
      </c>
      <c r="C734" s="56">
        <v>146621</v>
      </c>
      <c r="D734" s="121">
        <f>471383+2</f>
        <v>471385</v>
      </c>
      <c r="E734" s="121">
        <f>97402</f>
        <v>97402</v>
      </c>
      <c r="F734" s="27">
        <f aca="true" t="shared" si="209" ref="F734:F750">C734+D734-E734</f>
        <v>520604</v>
      </c>
      <c r="G734" s="121">
        <v>0</v>
      </c>
      <c r="H734" s="120">
        <f aca="true" t="shared" si="210" ref="H734:H750">F734</f>
        <v>520604</v>
      </c>
      <c r="I734" s="37"/>
    </row>
    <row r="735" spans="1:9" ht="24">
      <c r="A735" s="82">
        <v>31013</v>
      </c>
      <c r="B735" s="154" t="s">
        <v>528</v>
      </c>
      <c r="C735" s="56">
        <v>0</v>
      </c>
      <c r="D735" s="121">
        <f>49237-1</f>
        <v>49236</v>
      </c>
      <c r="E735" s="121">
        <v>0</v>
      </c>
      <c r="F735" s="27">
        <f t="shared" si="209"/>
        <v>49236</v>
      </c>
      <c r="G735" s="121">
        <v>0</v>
      </c>
      <c r="H735" s="120">
        <f t="shared" si="210"/>
        <v>49236</v>
      </c>
      <c r="I735" s="37"/>
    </row>
    <row r="736" spans="1:9" ht="24">
      <c r="A736" s="82">
        <v>31014</v>
      </c>
      <c r="B736" s="154" t="s">
        <v>529</v>
      </c>
      <c r="C736" s="56">
        <v>0</v>
      </c>
      <c r="D736" s="121">
        <v>156784</v>
      </c>
      <c r="E736" s="121">
        <v>0</v>
      </c>
      <c r="F736" s="27">
        <f t="shared" si="209"/>
        <v>156784</v>
      </c>
      <c r="G736" s="121">
        <v>0</v>
      </c>
      <c r="H736" s="120">
        <f t="shared" si="210"/>
        <v>156784</v>
      </c>
      <c r="I736" s="37"/>
    </row>
    <row r="737" spans="1:9" ht="12">
      <c r="A737" s="82">
        <v>31015</v>
      </c>
      <c r="B737" s="154" t="s">
        <v>530</v>
      </c>
      <c r="C737" s="56">
        <v>40496</v>
      </c>
      <c r="D737" s="121">
        <f>50000+713313</f>
        <v>763313</v>
      </c>
      <c r="E737" s="121">
        <f>12500</f>
        <v>12500</v>
      </c>
      <c r="F737" s="27">
        <f t="shared" si="209"/>
        <v>791309</v>
      </c>
      <c r="G737" s="121">
        <v>0</v>
      </c>
      <c r="H737" s="120">
        <f t="shared" si="210"/>
        <v>791309</v>
      </c>
      <c r="I737" s="37"/>
    </row>
    <row r="738" spans="1:9" ht="12">
      <c r="A738" s="82">
        <v>31016</v>
      </c>
      <c r="B738" s="154" t="s">
        <v>531</v>
      </c>
      <c r="C738" s="56">
        <v>910002</v>
      </c>
      <c r="D738" s="121">
        <f>468784-2</f>
        <v>468782</v>
      </c>
      <c r="E738" s="121">
        <f>179049</f>
        <v>179049</v>
      </c>
      <c r="F738" s="27">
        <f t="shared" si="209"/>
        <v>1199735</v>
      </c>
      <c r="G738" s="121">
        <v>0</v>
      </c>
      <c r="H738" s="120">
        <f t="shared" si="210"/>
        <v>1199735</v>
      </c>
      <c r="I738" s="37"/>
    </row>
    <row r="739" spans="1:9" ht="12">
      <c r="A739" s="82">
        <v>31017</v>
      </c>
      <c r="B739" s="154" t="s">
        <v>532</v>
      </c>
      <c r="C739" s="56">
        <v>12416</v>
      </c>
      <c r="D739" s="121">
        <f>49875-1</f>
        <v>49874</v>
      </c>
      <c r="E739" s="121">
        <f>5072</f>
        <v>5072</v>
      </c>
      <c r="F739" s="27">
        <f t="shared" si="209"/>
        <v>57218</v>
      </c>
      <c r="G739" s="121">
        <v>0</v>
      </c>
      <c r="H739" s="120">
        <f t="shared" si="210"/>
        <v>57218</v>
      </c>
      <c r="I739" s="37"/>
    </row>
    <row r="740" spans="1:9" ht="12">
      <c r="A740" s="82">
        <v>31018</v>
      </c>
      <c r="B740" s="154" t="s">
        <v>544</v>
      </c>
      <c r="C740" s="56">
        <v>0</v>
      </c>
      <c r="D740" s="121">
        <v>0</v>
      </c>
      <c r="E740" s="121">
        <v>0</v>
      </c>
      <c r="F740" s="27">
        <f t="shared" si="209"/>
        <v>0</v>
      </c>
      <c r="G740" s="121">
        <v>0</v>
      </c>
      <c r="H740" s="120">
        <f t="shared" si="210"/>
        <v>0</v>
      </c>
      <c r="I740" s="37"/>
    </row>
    <row r="741" spans="1:9" ht="12">
      <c r="A741" s="82">
        <v>31020</v>
      </c>
      <c r="B741" s="154" t="s">
        <v>515</v>
      </c>
      <c r="C741" s="56">
        <v>24055220</v>
      </c>
      <c r="D741" s="121">
        <v>0</v>
      </c>
      <c r="E741" s="121">
        <v>1574121</v>
      </c>
      <c r="F741" s="27">
        <f t="shared" si="209"/>
        <v>22481099</v>
      </c>
      <c r="G741" s="121">
        <v>0</v>
      </c>
      <c r="H741" s="120">
        <f t="shared" si="210"/>
        <v>22481099</v>
      </c>
      <c r="I741" s="37"/>
    </row>
    <row r="742" spans="1:9" ht="12">
      <c r="A742" s="82">
        <v>31021</v>
      </c>
      <c r="B742" s="154" t="s">
        <v>534</v>
      </c>
      <c r="C742" s="56">
        <v>656900</v>
      </c>
      <c r="D742" s="121">
        <f>20276-1</f>
        <v>20275</v>
      </c>
      <c r="E742" s="121">
        <v>516080</v>
      </c>
      <c r="F742" s="27">
        <f t="shared" si="209"/>
        <v>161095</v>
      </c>
      <c r="G742" s="121">
        <v>0</v>
      </c>
      <c r="H742" s="120">
        <f t="shared" si="210"/>
        <v>161095</v>
      </c>
      <c r="I742" s="37"/>
    </row>
    <row r="743" spans="1:9" ht="24">
      <c r="A743" s="82">
        <v>31032</v>
      </c>
      <c r="B743" s="154" t="s">
        <v>535</v>
      </c>
      <c r="C743" s="56">
        <v>0</v>
      </c>
      <c r="D743" s="121">
        <v>0</v>
      </c>
      <c r="E743" s="121">
        <v>0</v>
      </c>
      <c r="F743" s="27">
        <f t="shared" si="209"/>
        <v>0</v>
      </c>
      <c r="G743" s="121">
        <v>0</v>
      </c>
      <c r="H743" s="120">
        <f t="shared" si="210"/>
        <v>0</v>
      </c>
      <c r="I743" s="37"/>
    </row>
    <row r="744" spans="1:9" ht="24">
      <c r="A744" s="82">
        <v>31034</v>
      </c>
      <c r="B744" s="154" t="s">
        <v>536</v>
      </c>
      <c r="C744" s="56">
        <v>171488</v>
      </c>
      <c r="D744" s="121">
        <v>0</v>
      </c>
      <c r="E744" s="121">
        <v>0</v>
      </c>
      <c r="F744" s="27">
        <f t="shared" si="209"/>
        <v>171488</v>
      </c>
      <c r="G744" s="121">
        <v>0</v>
      </c>
      <c r="H744" s="120">
        <f t="shared" si="210"/>
        <v>171488</v>
      </c>
      <c r="I744" s="37"/>
    </row>
    <row r="745" spans="1:9" ht="24">
      <c r="A745" s="82">
        <v>31038</v>
      </c>
      <c r="B745" s="154" t="s">
        <v>537</v>
      </c>
      <c r="C745" s="56">
        <v>698934331</v>
      </c>
      <c r="D745" s="121">
        <v>0</v>
      </c>
      <c r="E745" s="121">
        <v>242957213</v>
      </c>
      <c r="F745" s="27">
        <f t="shared" si="209"/>
        <v>455977118</v>
      </c>
      <c r="G745" s="121">
        <v>0</v>
      </c>
      <c r="H745" s="120">
        <f t="shared" si="210"/>
        <v>455977118</v>
      </c>
      <c r="I745" s="37"/>
    </row>
    <row r="746" spans="1:9" ht="24">
      <c r="A746" s="82">
        <v>31043</v>
      </c>
      <c r="B746" s="154" t="s">
        <v>545</v>
      </c>
      <c r="C746" s="56">
        <v>535799</v>
      </c>
      <c r="D746" s="121"/>
      <c r="E746" s="121">
        <v>535799</v>
      </c>
      <c r="F746" s="27">
        <f t="shared" si="209"/>
        <v>0</v>
      </c>
      <c r="G746" s="121">
        <v>0</v>
      </c>
      <c r="H746" s="120">
        <f t="shared" si="210"/>
        <v>0</v>
      </c>
      <c r="I746" s="37"/>
    </row>
    <row r="747" spans="1:9" ht="24">
      <c r="A747" s="82">
        <v>31044</v>
      </c>
      <c r="B747" s="154" t="s">
        <v>546</v>
      </c>
      <c r="C747" s="56">
        <v>0</v>
      </c>
      <c r="D747" s="121">
        <f>50000+53704</f>
        <v>103704</v>
      </c>
      <c r="E747" s="121">
        <v>0</v>
      </c>
      <c r="F747" s="27">
        <f t="shared" si="209"/>
        <v>103704</v>
      </c>
      <c r="G747" s="121">
        <v>0</v>
      </c>
      <c r="H747" s="120">
        <f t="shared" si="210"/>
        <v>103704</v>
      </c>
      <c r="I747" s="37"/>
    </row>
    <row r="748" spans="1:9" ht="12">
      <c r="A748" s="82">
        <v>31046</v>
      </c>
      <c r="B748" s="154" t="s">
        <v>540</v>
      </c>
      <c r="C748" s="56">
        <v>20082991</v>
      </c>
      <c r="D748" s="121">
        <f>1088349+1</f>
        <v>1088350</v>
      </c>
      <c r="E748" s="121">
        <v>0</v>
      </c>
      <c r="F748" s="27">
        <f t="shared" si="209"/>
        <v>21171341</v>
      </c>
      <c r="G748" s="121">
        <v>0</v>
      </c>
      <c r="H748" s="120">
        <f t="shared" si="210"/>
        <v>21171341</v>
      </c>
      <c r="I748" s="37"/>
    </row>
    <row r="749" spans="1:9" ht="12">
      <c r="A749" s="82">
        <v>31058</v>
      </c>
      <c r="B749" s="154" t="s">
        <v>547</v>
      </c>
      <c r="C749" s="56">
        <v>271676661</v>
      </c>
      <c r="D749" s="121">
        <v>0</v>
      </c>
      <c r="E749" s="121">
        <v>18037512</v>
      </c>
      <c r="F749" s="27">
        <f t="shared" si="209"/>
        <v>253639149</v>
      </c>
      <c r="G749" s="121">
        <v>0</v>
      </c>
      <c r="H749" s="120">
        <f t="shared" si="210"/>
        <v>253639149</v>
      </c>
      <c r="I749" s="37"/>
    </row>
    <row r="750" spans="1:9" ht="12">
      <c r="A750" s="82">
        <v>31091</v>
      </c>
      <c r="B750" s="154" t="s">
        <v>542</v>
      </c>
      <c r="C750" s="56">
        <v>614219118</v>
      </c>
      <c r="D750" s="121">
        <v>0</v>
      </c>
      <c r="E750" s="121"/>
      <c r="F750" s="27">
        <f t="shared" si="209"/>
        <v>614219118</v>
      </c>
      <c r="G750" s="121">
        <v>0</v>
      </c>
      <c r="H750" s="120">
        <f t="shared" si="210"/>
        <v>614219118</v>
      </c>
      <c r="I750" s="37"/>
    </row>
    <row r="751" spans="1:9" ht="12">
      <c r="A751" s="82">
        <v>31200</v>
      </c>
      <c r="B751" s="153" t="s">
        <v>548</v>
      </c>
      <c r="C751" s="54">
        <f aca="true" t="shared" si="211" ref="C751:H751">SUM(C752:C769)</f>
        <v>7787805975</v>
      </c>
      <c r="D751" s="118">
        <f t="shared" si="211"/>
        <v>18104796</v>
      </c>
      <c r="E751" s="118">
        <f t="shared" si="211"/>
        <v>2895560541</v>
      </c>
      <c r="F751" s="118">
        <f t="shared" si="211"/>
        <v>4910350230</v>
      </c>
      <c r="G751" s="118">
        <f t="shared" si="211"/>
        <v>0</v>
      </c>
      <c r="H751" s="119">
        <f t="shared" si="211"/>
        <v>4910350230</v>
      </c>
      <c r="I751" s="37"/>
    </row>
    <row r="752" spans="1:9" ht="24">
      <c r="A752" s="82">
        <v>31211</v>
      </c>
      <c r="B752" s="154" t="s">
        <v>526</v>
      </c>
      <c r="C752" s="56">
        <v>10064699</v>
      </c>
      <c r="D752" s="121">
        <v>0</v>
      </c>
      <c r="E752" s="121">
        <v>2749198</v>
      </c>
      <c r="F752" s="27">
        <f aca="true" t="shared" si="212" ref="F752:F769">C752+D752-E752</f>
        <v>7315501</v>
      </c>
      <c r="G752" s="121">
        <v>0</v>
      </c>
      <c r="H752" s="120">
        <f>F752</f>
        <v>7315501</v>
      </c>
      <c r="I752" s="37"/>
    </row>
    <row r="753" spans="1:9" ht="12">
      <c r="A753" s="82">
        <v>31212</v>
      </c>
      <c r="B753" s="154" t="s">
        <v>527</v>
      </c>
      <c r="C753" s="56">
        <v>142248</v>
      </c>
      <c r="D753" s="121">
        <v>67433</v>
      </c>
      <c r="E753" s="121">
        <v>12546</v>
      </c>
      <c r="F753" s="27">
        <f t="shared" si="212"/>
        <v>197135</v>
      </c>
      <c r="G753" s="121">
        <v>0</v>
      </c>
      <c r="H753" s="120">
        <f aca="true" t="shared" si="213" ref="H753:H769">F753</f>
        <v>197135</v>
      </c>
      <c r="I753" s="37"/>
    </row>
    <row r="754" spans="1:9" ht="24">
      <c r="A754" s="82">
        <v>31213</v>
      </c>
      <c r="B754" s="154" t="s">
        <v>549</v>
      </c>
      <c r="C754" s="56">
        <v>544132</v>
      </c>
      <c r="D754" s="121">
        <v>0</v>
      </c>
      <c r="E754" s="121">
        <v>250632</v>
      </c>
      <c r="F754" s="27">
        <f t="shared" si="212"/>
        <v>293500</v>
      </c>
      <c r="G754" s="121">
        <v>0</v>
      </c>
      <c r="H754" s="120">
        <f t="shared" si="213"/>
        <v>293500</v>
      </c>
      <c r="I754" s="37"/>
    </row>
    <row r="755" spans="1:9" ht="24">
      <c r="A755" s="82">
        <v>31214</v>
      </c>
      <c r="B755" s="154" t="s">
        <v>550</v>
      </c>
      <c r="C755" s="56">
        <v>2305997</v>
      </c>
      <c r="D755" s="121">
        <v>0</v>
      </c>
      <c r="E755" s="121">
        <v>392451</v>
      </c>
      <c r="F755" s="27">
        <f t="shared" si="212"/>
        <v>1913546</v>
      </c>
      <c r="G755" s="121">
        <v>0</v>
      </c>
      <c r="H755" s="120">
        <f t="shared" si="213"/>
        <v>1913546</v>
      </c>
      <c r="I755" s="37"/>
    </row>
    <row r="756" spans="1:9" ht="12">
      <c r="A756" s="82">
        <v>31215</v>
      </c>
      <c r="B756" s="154" t="s">
        <v>530</v>
      </c>
      <c r="C756" s="56">
        <v>9367</v>
      </c>
      <c r="D756" s="121">
        <v>0</v>
      </c>
      <c r="E756" s="121">
        <v>0</v>
      </c>
      <c r="F756" s="27">
        <f t="shared" si="212"/>
        <v>9367</v>
      </c>
      <c r="G756" s="121">
        <v>0</v>
      </c>
      <c r="H756" s="120">
        <f t="shared" si="213"/>
        <v>9367</v>
      </c>
      <c r="I756" s="37"/>
    </row>
    <row r="757" spans="1:9" ht="12">
      <c r="A757" s="82">
        <v>31216</v>
      </c>
      <c r="B757" s="154" t="s">
        <v>531</v>
      </c>
      <c r="C757" s="56">
        <v>488241</v>
      </c>
      <c r="D757" s="121">
        <v>0</v>
      </c>
      <c r="E757" s="121">
        <v>196304</v>
      </c>
      <c r="F757" s="27">
        <f t="shared" si="212"/>
        <v>291937</v>
      </c>
      <c r="G757" s="121">
        <v>0</v>
      </c>
      <c r="H757" s="120">
        <f t="shared" si="213"/>
        <v>291937</v>
      </c>
      <c r="I757" s="37"/>
    </row>
    <row r="758" spans="1:9" ht="12">
      <c r="A758" s="82">
        <v>31217</v>
      </c>
      <c r="B758" s="154" t="s">
        <v>551</v>
      </c>
      <c r="C758" s="56">
        <v>300</v>
      </c>
      <c r="D758" s="28"/>
      <c r="E758" s="121">
        <v>0</v>
      </c>
      <c r="F758" s="27">
        <f t="shared" si="212"/>
        <v>300</v>
      </c>
      <c r="G758" s="121">
        <v>0</v>
      </c>
      <c r="H758" s="120">
        <f t="shared" si="213"/>
        <v>300</v>
      </c>
      <c r="I758" s="37"/>
    </row>
    <row r="759" spans="1:9" ht="12">
      <c r="A759" s="82">
        <v>31218</v>
      </c>
      <c r="B759" s="154" t="s">
        <v>544</v>
      </c>
      <c r="C759" s="56">
        <v>0</v>
      </c>
      <c r="D759" s="121">
        <v>0</v>
      </c>
      <c r="E759" s="121">
        <v>0</v>
      </c>
      <c r="F759" s="27">
        <f t="shared" si="212"/>
        <v>0</v>
      </c>
      <c r="G759" s="121">
        <v>0</v>
      </c>
      <c r="H759" s="120">
        <f t="shared" si="213"/>
        <v>0</v>
      </c>
      <c r="I759" s="37"/>
    </row>
    <row r="760" spans="1:9" ht="12">
      <c r="A760" s="82">
        <v>31220</v>
      </c>
      <c r="B760" s="154" t="s">
        <v>515</v>
      </c>
      <c r="C760" s="56">
        <v>0</v>
      </c>
      <c r="D760" s="121">
        <v>1574121</v>
      </c>
      <c r="E760" s="121">
        <v>0</v>
      </c>
      <c r="F760" s="27">
        <f t="shared" si="212"/>
        <v>1574121</v>
      </c>
      <c r="G760" s="121">
        <v>0</v>
      </c>
      <c r="H760" s="120">
        <f t="shared" si="213"/>
        <v>1574121</v>
      </c>
      <c r="I760" s="37"/>
    </row>
    <row r="761" spans="1:9" ht="24">
      <c r="A761" s="82">
        <v>31221</v>
      </c>
      <c r="B761" s="154" t="s">
        <v>552</v>
      </c>
      <c r="C761" s="56">
        <v>1138142</v>
      </c>
      <c r="D761" s="121">
        <v>376490</v>
      </c>
      <c r="E761" s="121">
        <v>467257</v>
      </c>
      <c r="F761" s="27">
        <f t="shared" si="212"/>
        <v>1047375</v>
      </c>
      <c r="G761" s="121">
        <v>0</v>
      </c>
      <c r="H761" s="120">
        <f t="shared" si="213"/>
        <v>1047375</v>
      </c>
      <c r="I761" s="37"/>
    </row>
    <row r="762" spans="1:9" ht="24">
      <c r="A762" s="82">
        <v>31232</v>
      </c>
      <c r="B762" s="154" t="s">
        <v>553</v>
      </c>
      <c r="C762" s="56">
        <v>2653668</v>
      </c>
      <c r="D762" s="121">
        <v>0</v>
      </c>
      <c r="E762" s="121">
        <v>846375</v>
      </c>
      <c r="F762" s="27">
        <f t="shared" si="212"/>
        <v>1807293</v>
      </c>
      <c r="G762" s="121">
        <v>0</v>
      </c>
      <c r="H762" s="120">
        <f t="shared" si="213"/>
        <v>1807293</v>
      </c>
      <c r="I762" s="37"/>
    </row>
    <row r="763" spans="1:9" ht="24">
      <c r="A763" s="82">
        <v>31234</v>
      </c>
      <c r="B763" s="154" t="s">
        <v>554</v>
      </c>
      <c r="C763" s="56">
        <v>1724059</v>
      </c>
      <c r="D763" s="121">
        <v>0</v>
      </c>
      <c r="E763" s="121">
        <v>1724059</v>
      </c>
      <c r="F763" s="27">
        <f t="shared" si="212"/>
        <v>0</v>
      </c>
      <c r="G763" s="121">
        <v>0</v>
      </c>
      <c r="H763" s="120">
        <f t="shared" si="213"/>
        <v>0</v>
      </c>
      <c r="I763" s="37"/>
    </row>
    <row r="764" spans="1:9" ht="24">
      <c r="A764" s="82">
        <v>31238</v>
      </c>
      <c r="B764" s="154" t="s">
        <v>537</v>
      </c>
      <c r="C764" s="56">
        <v>1028612897</v>
      </c>
      <c r="D764" s="121">
        <v>0</v>
      </c>
      <c r="E764" s="121">
        <f>271760294+1</f>
        <v>271760295</v>
      </c>
      <c r="F764" s="27">
        <f t="shared" si="212"/>
        <v>756852602</v>
      </c>
      <c r="G764" s="121">
        <v>0</v>
      </c>
      <c r="H764" s="120">
        <f t="shared" si="213"/>
        <v>756852602</v>
      </c>
      <c r="I764" s="37"/>
    </row>
    <row r="765" spans="1:9" ht="24">
      <c r="A765" s="82">
        <v>31243</v>
      </c>
      <c r="B765" s="154" t="s">
        <v>545</v>
      </c>
      <c r="C765" s="56">
        <v>2139406</v>
      </c>
      <c r="D765" s="121">
        <v>535799</v>
      </c>
      <c r="E765" s="121">
        <v>0</v>
      </c>
      <c r="F765" s="27">
        <f t="shared" si="212"/>
        <v>2675205</v>
      </c>
      <c r="G765" s="121">
        <v>0</v>
      </c>
      <c r="H765" s="120">
        <f t="shared" si="213"/>
        <v>2675205</v>
      </c>
      <c r="I765" s="37"/>
    </row>
    <row r="766" spans="1:9" ht="24">
      <c r="A766" s="82">
        <v>31244</v>
      </c>
      <c r="B766" s="154" t="s">
        <v>546</v>
      </c>
      <c r="C766" s="56">
        <v>5250000</v>
      </c>
      <c r="D766" s="121">
        <v>0</v>
      </c>
      <c r="E766" s="121">
        <v>753661</v>
      </c>
      <c r="F766" s="27">
        <f t="shared" si="212"/>
        <v>4496339</v>
      </c>
      <c r="G766" s="121">
        <v>0</v>
      </c>
      <c r="H766" s="120">
        <f t="shared" si="213"/>
        <v>4496339</v>
      </c>
      <c r="I766" s="37"/>
    </row>
    <row r="767" spans="1:9" ht="12">
      <c r="A767" s="82">
        <v>31246</v>
      </c>
      <c r="B767" s="154" t="s">
        <v>540</v>
      </c>
      <c r="C767" s="56">
        <v>1084671700</v>
      </c>
      <c r="D767" s="121">
        <v>0</v>
      </c>
      <c r="E767" s="121">
        <v>435596279</v>
      </c>
      <c r="F767" s="27">
        <f t="shared" si="212"/>
        <v>649075421</v>
      </c>
      <c r="G767" s="121">
        <v>0</v>
      </c>
      <c r="H767" s="120">
        <f t="shared" si="213"/>
        <v>649075421</v>
      </c>
      <c r="I767" s="37"/>
    </row>
    <row r="768" spans="1:9" ht="12">
      <c r="A768" s="82">
        <v>31258</v>
      </c>
      <c r="B768" s="154" t="s">
        <v>555</v>
      </c>
      <c r="C768" s="56">
        <v>37426267</v>
      </c>
      <c r="D768" s="121">
        <f>15550952+1</f>
        <v>15550953</v>
      </c>
      <c r="E768" s="121">
        <v>28068077</v>
      </c>
      <c r="F768" s="27">
        <f t="shared" si="212"/>
        <v>24909143</v>
      </c>
      <c r="G768" s="121">
        <v>0</v>
      </c>
      <c r="H768" s="120">
        <f t="shared" si="213"/>
        <v>24909143</v>
      </c>
      <c r="I768" s="37"/>
    </row>
    <row r="769" spans="1:9" ht="12">
      <c r="A769" s="82">
        <v>31291</v>
      </c>
      <c r="B769" s="154" t="s">
        <v>542</v>
      </c>
      <c r="C769" s="56">
        <v>5610634852</v>
      </c>
      <c r="D769" s="121">
        <v>0</v>
      </c>
      <c r="E769" s="121">
        <v>2152743407</v>
      </c>
      <c r="F769" s="27">
        <f t="shared" si="212"/>
        <v>3457891445</v>
      </c>
      <c r="G769" s="121">
        <v>0</v>
      </c>
      <c r="H769" s="120">
        <f t="shared" si="213"/>
        <v>3457891445</v>
      </c>
      <c r="I769" s="37"/>
    </row>
    <row r="770" spans="1:9" ht="12">
      <c r="A770" s="82">
        <v>31500</v>
      </c>
      <c r="B770" s="153" t="s">
        <v>556</v>
      </c>
      <c r="C770" s="54">
        <f aca="true" t="shared" si="214" ref="C770:H770">SUM(C771:C788)</f>
        <v>100137922</v>
      </c>
      <c r="D770" s="118">
        <f t="shared" si="214"/>
        <v>109643925</v>
      </c>
      <c r="E770" s="118">
        <f t="shared" si="214"/>
        <v>34154522</v>
      </c>
      <c r="F770" s="118">
        <f t="shared" si="214"/>
        <v>175627325</v>
      </c>
      <c r="G770" s="118">
        <f t="shared" si="214"/>
        <v>0</v>
      </c>
      <c r="H770" s="119">
        <f t="shared" si="214"/>
        <v>175627325</v>
      </c>
      <c r="I770" s="37"/>
    </row>
    <row r="771" spans="1:9" ht="24">
      <c r="A771" s="82">
        <v>31511</v>
      </c>
      <c r="B771" s="154" t="s">
        <v>526</v>
      </c>
      <c r="C771" s="56">
        <v>677037</v>
      </c>
      <c r="D771" s="121">
        <v>684</v>
      </c>
      <c r="E771" s="121">
        <v>676809</v>
      </c>
      <c r="F771" s="27">
        <f aca="true" t="shared" si="215" ref="F771:F788">C771+D771-E771</f>
        <v>912</v>
      </c>
      <c r="G771" s="121">
        <v>0</v>
      </c>
      <c r="H771" s="120">
        <f>F771</f>
        <v>912</v>
      </c>
      <c r="I771" s="37"/>
    </row>
    <row r="772" spans="1:9" ht="12">
      <c r="A772" s="82">
        <v>31512</v>
      </c>
      <c r="B772" s="154" t="s">
        <v>527</v>
      </c>
      <c r="C772" s="56">
        <v>618722</v>
      </c>
      <c r="D772" s="121">
        <v>17457</v>
      </c>
      <c r="E772" s="121">
        <f>58176+471383</f>
        <v>529559</v>
      </c>
      <c r="F772" s="27">
        <f t="shared" si="215"/>
        <v>106620</v>
      </c>
      <c r="G772" s="121">
        <v>0</v>
      </c>
      <c r="H772" s="120">
        <f aca="true" t="shared" si="216" ref="H772:H788">F772</f>
        <v>106620</v>
      </c>
      <c r="I772" s="37"/>
    </row>
    <row r="773" spans="1:9" ht="24">
      <c r="A773" s="82">
        <v>31513</v>
      </c>
      <c r="B773" s="154" t="s">
        <v>557</v>
      </c>
      <c r="C773" s="56">
        <v>49237</v>
      </c>
      <c r="D773" s="121">
        <v>30479</v>
      </c>
      <c r="E773" s="121">
        <f>30479+49237</f>
        <v>79716</v>
      </c>
      <c r="F773" s="27">
        <f t="shared" si="215"/>
        <v>0</v>
      </c>
      <c r="G773" s="121">
        <v>0</v>
      </c>
      <c r="H773" s="120">
        <f t="shared" si="216"/>
        <v>0</v>
      </c>
      <c r="I773" s="37"/>
    </row>
    <row r="774" spans="1:9" ht="24">
      <c r="A774" s="82">
        <v>31514</v>
      </c>
      <c r="B774" s="154" t="s">
        <v>558</v>
      </c>
      <c r="C774" s="56">
        <v>156785</v>
      </c>
      <c r="D774" s="121">
        <v>104457</v>
      </c>
      <c r="E774" s="121">
        <f>104457+156785</f>
        <v>261242</v>
      </c>
      <c r="F774" s="27">
        <f t="shared" si="215"/>
        <v>0</v>
      </c>
      <c r="G774" s="121">
        <v>0</v>
      </c>
      <c r="H774" s="120">
        <f t="shared" si="216"/>
        <v>0</v>
      </c>
      <c r="I774" s="37"/>
    </row>
    <row r="775" spans="1:9" ht="12">
      <c r="A775" s="82">
        <v>31515</v>
      </c>
      <c r="B775" s="154" t="s">
        <v>530</v>
      </c>
      <c r="C775" s="56">
        <v>1018171</v>
      </c>
      <c r="D775" s="121">
        <v>0</v>
      </c>
      <c r="E775" s="121">
        <f>66626+713313</f>
        <v>779939</v>
      </c>
      <c r="F775" s="27">
        <f t="shared" si="215"/>
        <v>238232</v>
      </c>
      <c r="G775" s="121">
        <v>0</v>
      </c>
      <c r="H775" s="120">
        <f t="shared" si="216"/>
        <v>238232</v>
      </c>
      <c r="I775" s="37"/>
    </row>
    <row r="776" spans="1:9" ht="12">
      <c r="A776" s="82">
        <v>31516</v>
      </c>
      <c r="B776" s="154" t="s">
        <v>559</v>
      </c>
      <c r="C776" s="56">
        <v>1024802</v>
      </c>
      <c r="D776" s="121">
        <v>112731</v>
      </c>
      <c r="E776" s="121">
        <f>27276+468783</f>
        <v>496059</v>
      </c>
      <c r="F776" s="27">
        <f t="shared" si="215"/>
        <v>641474</v>
      </c>
      <c r="G776" s="121">
        <v>0</v>
      </c>
      <c r="H776" s="120">
        <f t="shared" si="216"/>
        <v>641474</v>
      </c>
      <c r="I776" s="37"/>
    </row>
    <row r="777" spans="1:9" ht="12">
      <c r="A777" s="82">
        <v>31517</v>
      </c>
      <c r="B777" s="154" t="s">
        <v>532</v>
      </c>
      <c r="C777" s="56">
        <v>72884</v>
      </c>
      <c r="D777" s="121">
        <v>469</v>
      </c>
      <c r="E777" s="121">
        <f>23010+49874</f>
        <v>72884</v>
      </c>
      <c r="F777" s="27">
        <f t="shared" si="215"/>
        <v>469</v>
      </c>
      <c r="G777" s="121">
        <v>0</v>
      </c>
      <c r="H777" s="120">
        <f t="shared" si="216"/>
        <v>469</v>
      </c>
      <c r="I777" s="37"/>
    </row>
    <row r="778" spans="1:9" ht="12">
      <c r="A778" s="82">
        <v>31518</v>
      </c>
      <c r="B778" s="154" t="s">
        <v>560</v>
      </c>
      <c r="C778" s="56">
        <v>0</v>
      </c>
      <c r="D778" s="121">
        <v>0</v>
      </c>
      <c r="E778" s="121">
        <v>0</v>
      </c>
      <c r="F778" s="27">
        <f t="shared" si="215"/>
        <v>0</v>
      </c>
      <c r="G778" s="121">
        <v>0</v>
      </c>
      <c r="H778" s="120">
        <f t="shared" si="216"/>
        <v>0</v>
      </c>
      <c r="I778" s="37"/>
    </row>
    <row r="779" spans="1:9" ht="12">
      <c r="A779" s="82">
        <v>31520</v>
      </c>
      <c r="B779" s="154" t="s">
        <v>515</v>
      </c>
      <c r="C779" s="56">
        <v>2114139</v>
      </c>
      <c r="D779" s="121">
        <v>0</v>
      </c>
      <c r="E779" s="121">
        <v>1990733</v>
      </c>
      <c r="F779" s="27">
        <f t="shared" si="215"/>
        <v>123406</v>
      </c>
      <c r="G779" s="121">
        <v>0</v>
      </c>
      <c r="H779" s="120">
        <f t="shared" si="216"/>
        <v>123406</v>
      </c>
      <c r="I779" s="37"/>
    </row>
    <row r="780" spans="1:9" ht="24">
      <c r="A780" s="82">
        <v>31521</v>
      </c>
      <c r="B780" s="154" t="s">
        <v>561</v>
      </c>
      <c r="C780" s="56">
        <v>199211</v>
      </c>
      <c r="D780" s="121">
        <v>137773</v>
      </c>
      <c r="E780" s="121">
        <v>61860</v>
      </c>
      <c r="F780" s="27">
        <f t="shared" si="215"/>
        <v>275124</v>
      </c>
      <c r="G780" s="121">
        <v>0</v>
      </c>
      <c r="H780" s="120">
        <f t="shared" si="216"/>
        <v>275124</v>
      </c>
      <c r="I780" s="37"/>
    </row>
    <row r="781" spans="1:9" ht="24">
      <c r="A781" s="82">
        <v>31532</v>
      </c>
      <c r="B781" s="154" t="s">
        <v>562</v>
      </c>
      <c r="C781" s="56">
        <v>232329</v>
      </c>
      <c r="D781" s="121">
        <v>0</v>
      </c>
      <c r="E781" s="121">
        <v>0</v>
      </c>
      <c r="F781" s="27">
        <f t="shared" si="215"/>
        <v>232329</v>
      </c>
      <c r="G781" s="121">
        <v>0</v>
      </c>
      <c r="H781" s="120">
        <f t="shared" si="216"/>
        <v>232329</v>
      </c>
      <c r="I781" s="37"/>
    </row>
    <row r="782" spans="1:9" ht="24">
      <c r="A782" s="82">
        <v>31534</v>
      </c>
      <c r="B782" s="154" t="s">
        <v>536</v>
      </c>
      <c r="C782" s="56">
        <v>0</v>
      </c>
      <c r="D782" s="121">
        <v>293009</v>
      </c>
      <c r="E782" s="121">
        <v>293009</v>
      </c>
      <c r="F782" s="27">
        <f t="shared" si="215"/>
        <v>0</v>
      </c>
      <c r="G782" s="121">
        <v>0</v>
      </c>
      <c r="H782" s="120">
        <f t="shared" si="216"/>
        <v>0</v>
      </c>
      <c r="I782" s="37"/>
    </row>
    <row r="783" spans="1:9" ht="12">
      <c r="A783" s="82">
        <v>31538</v>
      </c>
      <c r="B783" s="154" t="s">
        <v>563</v>
      </c>
      <c r="C783" s="56">
        <v>0</v>
      </c>
      <c r="D783" s="121">
        <v>7273403</v>
      </c>
      <c r="E783" s="121">
        <v>0</v>
      </c>
      <c r="F783" s="27">
        <f t="shared" si="215"/>
        <v>7273403</v>
      </c>
      <c r="G783" s="121">
        <v>0</v>
      </c>
      <c r="H783" s="120">
        <f t="shared" si="216"/>
        <v>7273403</v>
      </c>
      <c r="I783" s="37"/>
    </row>
    <row r="784" spans="1:9" ht="24">
      <c r="A784" s="82">
        <v>31543</v>
      </c>
      <c r="B784" s="154" t="s">
        <v>545</v>
      </c>
      <c r="C784" s="56">
        <v>2242231</v>
      </c>
      <c r="D784" s="121">
        <v>0</v>
      </c>
      <c r="E784" s="121">
        <v>0</v>
      </c>
      <c r="F784" s="27">
        <f t="shared" si="215"/>
        <v>2242231</v>
      </c>
      <c r="G784" s="121">
        <v>0</v>
      </c>
      <c r="H784" s="120">
        <f t="shared" si="216"/>
        <v>2242231</v>
      </c>
      <c r="I784" s="37"/>
    </row>
    <row r="785" spans="1:9" ht="12">
      <c r="A785" s="82">
        <v>31544</v>
      </c>
      <c r="B785" s="154" t="s">
        <v>564</v>
      </c>
      <c r="C785" s="56">
        <v>0</v>
      </c>
      <c r="D785" s="121">
        <v>51101</v>
      </c>
      <c r="E785" s="121">
        <v>25977</v>
      </c>
      <c r="F785" s="27">
        <f t="shared" si="215"/>
        <v>25124</v>
      </c>
      <c r="G785" s="121">
        <v>0</v>
      </c>
      <c r="H785" s="120">
        <f t="shared" si="216"/>
        <v>25124</v>
      </c>
      <c r="I785" s="37"/>
    </row>
    <row r="786" spans="1:9" ht="12">
      <c r="A786" s="82">
        <v>31546</v>
      </c>
      <c r="B786" s="154" t="s">
        <v>520</v>
      </c>
      <c r="C786" s="56">
        <v>0</v>
      </c>
      <c r="D786" s="121">
        <v>85556906</v>
      </c>
      <c r="E786" s="121">
        <v>0</v>
      </c>
      <c r="F786" s="27">
        <f t="shared" si="215"/>
        <v>85556906</v>
      </c>
      <c r="G786" s="121">
        <v>0</v>
      </c>
      <c r="H786" s="120">
        <f t="shared" si="216"/>
        <v>85556906</v>
      </c>
      <c r="I786" s="37"/>
    </row>
    <row r="787" spans="1:9" ht="12">
      <c r="A787" s="82">
        <v>31558</v>
      </c>
      <c r="B787" s="154" t="s">
        <v>541</v>
      </c>
      <c r="C787" s="56">
        <v>14724754</v>
      </c>
      <c r="D787" s="121">
        <v>16065456</v>
      </c>
      <c r="E787" s="121">
        <v>8878</v>
      </c>
      <c r="F787" s="27">
        <f t="shared" si="215"/>
        <v>30781332</v>
      </c>
      <c r="G787" s="121">
        <v>0</v>
      </c>
      <c r="H787" s="120">
        <f t="shared" si="216"/>
        <v>30781332</v>
      </c>
      <c r="I787" s="37"/>
    </row>
    <row r="788" spans="1:9" ht="12">
      <c r="A788" s="82">
        <v>31591</v>
      </c>
      <c r="B788" s="154" t="s">
        <v>542</v>
      </c>
      <c r="C788" s="56">
        <v>77007620</v>
      </c>
      <c r="D788" s="121">
        <v>0</v>
      </c>
      <c r="E788" s="121">
        <v>28877857</v>
      </c>
      <c r="F788" s="27">
        <f t="shared" si="215"/>
        <v>48129763</v>
      </c>
      <c r="G788" s="121">
        <v>0</v>
      </c>
      <c r="H788" s="120">
        <f t="shared" si="216"/>
        <v>48129763</v>
      </c>
      <c r="I788" s="37"/>
    </row>
    <row r="789" spans="1:9" ht="12">
      <c r="A789" s="82">
        <v>32200</v>
      </c>
      <c r="B789" s="153" t="s">
        <v>565</v>
      </c>
      <c r="C789" s="54">
        <f aca="true" t="shared" si="217" ref="C789:H789">SUM(C790:C807)</f>
        <v>798033823</v>
      </c>
      <c r="D789" s="118">
        <f t="shared" si="217"/>
        <v>33275510</v>
      </c>
      <c r="E789" s="118">
        <f t="shared" si="217"/>
        <v>6887149</v>
      </c>
      <c r="F789" s="118">
        <f t="shared" si="217"/>
        <v>824422184</v>
      </c>
      <c r="G789" s="118">
        <f t="shared" si="217"/>
        <v>0</v>
      </c>
      <c r="H789" s="119">
        <f t="shared" si="217"/>
        <v>824422184</v>
      </c>
      <c r="I789" s="37"/>
    </row>
    <row r="790" spans="1:9" ht="24">
      <c r="A790" s="82">
        <v>32211</v>
      </c>
      <c r="B790" s="154" t="s">
        <v>526</v>
      </c>
      <c r="C790" s="56">
        <v>0</v>
      </c>
      <c r="D790" s="121">
        <v>176432</v>
      </c>
      <c r="E790" s="121">
        <v>176432</v>
      </c>
      <c r="F790" s="27">
        <f aca="true" t="shared" si="218" ref="F790:F807">C790+D790-E790</f>
        <v>0</v>
      </c>
      <c r="G790" s="121">
        <v>0</v>
      </c>
      <c r="H790" s="120">
        <f>F790</f>
        <v>0</v>
      </c>
      <c r="I790" s="37"/>
    </row>
    <row r="791" spans="1:9" ht="12">
      <c r="A791" s="82">
        <v>32212</v>
      </c>
      <c r="B791" s="154" t="s">
        <v>527</v>
      </c>
      <c r="C791" s="56">
        <v>896436</v>
      </c>
      <c r="D791" s="121">
        <v>18127</v>
      </c>
      <c r="E791" s="121">
        <v>2240</v>
      </c>
      <c r="F791" s="27">
        <f t="shared" si="218"/>
        <v>912323</v>
      </c>
      <c r="G791" s="121">
        <v>0</v>
      </c>
      <c r="H791" s="120">
        <f aca="true" t="shared" si="219" ref="H791:H807">F791</f>
        <v>912323</v>
      </c>
      <c r="I791" s="37"/>
    </row>
    <row r="792" spans="1:9" ht="24">
      <c r="A792" s="82">
        <v>32213</v>
      </c>
      <c r="B792" s="154" t="s">
        <v>566</v>
      </c>
      <c r="C792" s="56">
        <v>7113</v>
      </c>
      <c r="D792" s="121">
        <v>93667</v>
      </c>
      <c r="E792" s="121">
        <v>93666</v>
      </c>
      <c r="F792" s="27">
        <f t="shared" si="218"/>
        <v>7114</v>
      </c>
      <c r="G792" s="121">
        <v>0</v>
      </c>
      <c r="H792" s="120">
        <f t="shared" si="219"/>
        <v>7114</v>
      </c>
      <c r="I792" s="37"/>
    </row>
    <row r="793" spans="1:9" ht="24">
      <c r="A793" s="82">
        <v>32214</v>
      </c>
      <c r="B793" s="154" t="s">
        <v>529</v>
      </c>
      <c r="C793" s="56">
        <v>7105</v>
      </c>
      <c r="D793" s="121">
        <v>90274</v>
      </c>
      <c r="E793" s="121">
        <v>90273</v>
      </c>
      <c r="F793" s="27">
        <f t="shared" si="218"/>
        <v>7106</v>
      </c>
      <c r="G793" s="121">
        <v>0</v>
      </c>
      <c r="H793" s="120">
        <f t="shared" si="219"/>
        <v>7106</v>
      </c>
      <c r="I793" s="37"/>
    </row>
    <row r="794" spans="1:9" ht="12">
      <c r="A794" s="82">
        <v>32215</v>
      </c>
      <c r="B794" s="154" t="s">
        <v>530</v>
      </c>
      <c r="C794" s="56">
        <v>373004</v>
      </c>
      <c r="D794" s="121">
        <v>10104</v>
      </c>
      <c r="E794" s="121">
        <v>10104</v>
      </c>
      <c r="F794" s="27">
        <f t="shared" si="218"/>
        <v>373004</v>
      </c>
      <c r="G794" s="121">
        <v>0</v>
      </c>
      <c r="H794" s="120">
        <f t="shared" si="219"/>
        <v>373004</v>
      </c>
      <c r="I794" s="37"/>
    </row>
    <row r="795" spans="1:9" ht="12">
      <c r="A795" s="82">
        <v>32216</v>
      </c>
      <c r="B795" s="154" t="s">
        <v>531</v>
      </c>
      <c r="C795" s="56">
        <v>207748</v>
      </c>
      <c r="D795" s="121">
        <v>36477</v>
      </c>
      <c r="E795" s="121">
        <v>20344</v>
      </c>
      <c r="F795" s="27">
        <f t="shared" si="218"/>
        <v>223881</v>
      </c>
      <c r="G795" s="121">
        <v>0</v>
      </c>
      <c r="H795" s="120">
        <f t="shared" si="219"/>
        <v>223881</v>
      </c>
      <c r="I795" s="37"/>
    </row>
    <row r="796" spans="1:9" ht="12">
      <c r="A796" s="82">
        <v>32217</v>
      </c>
      <c r="B796" s="154" t="s">
        <v>567</v>
      </c>
      <c r="C796" s="56">
        <v>0</v>
      </c>
      <c r="D796" s="121">
        <v>0</v>
      </c>
      <c r="E796" s="121">
        <v>0</v>
      </c>
      <c r="F796" s="27">
        <f t="shared" si="218"/>
        <v>0</v>
      </c>
      <c r="G796" s="121">
        <v>0</v>
      </c>
      <c r="H796" s="120">
        <f t="shared" si="219"/>
        <v>0</v>
      </c>
      <c r="I796" s="37"/>
    </row>
    <row r="797" spans="1:9" ht="12">
      <c r="A797" s="82">
        <v>32218</v>
      </c>
      <c r="B797" s="154" t="s">
        <v>544</v>
      </c>
      <c r="C797" s="56">
        <v>0</v>
      </c>
      <c r="D797" s="121">
        <v>0</v>
      </c>
      <c r="E797" s="121">
        <v>0</v>
      </c>
      <c r="F797" s="27">
        <f t="shared" si="218"/>
        <v>0</v>
      </c>
      <c r="G797" s="121">
        <v>0</v>
      </c>
      <c r="H797" s="120">
        <f t="shared" si="219"/>
        <v>0</v>
      </c>
      <c r="I797" s="37"/>
    </row>
    <row r="798" spans="1:9" ht="12">
      <c r="A798" s="82">
        <v>32220</v>
      </c>
      <c r="B798" s="154" t="s">
        <v>515</v>
      </c>
      <c r="C798" s="56">
        <v>0</v>
      </c>
      <c r="D798" s="121">
        <v>0</v>
      </c>
      <c r="E798" s="121">
        <v>0</v>
      </c>
      <c r="F798" s="27">
        <f t="shared" si="218"/>
        <v>0</v>
      </c>
      <c r="G798" s="121">
        <v>0</v>
      </c>
      <c r="H798" s="120">
        <f t="shared" si="219"/>
        <v>0</v>
      </c>
      <c r="I798" s="37"/>
    </row>
    <row r="799" spans="1:9" ht="24">
      <c r="A799" s="82">
        <v>32221</v>
      </c>
      <c r="B799" s="154" t="s">
        <v>552</v>
      </c>
      <c r="C799" s="56">
        <v>0</v>
      </c>
      <c r="D799" s="121">
        <v>5644</v>
      </c>
      <c r="E799" s="121">
        <v>0</v>
      </c>
      <c r="F799" s="27">
        <f t="shared" si="218"/>
        <v>5644</v>
      </c>
      <c r="G799" s="121">
        <v>0</v>
      </c>
      <c r="H799" s="120">
        <f t="shared" si="219"/>
        <v>5644</v>
      </c>
      <c r="I799" s="37"/>
    </row>
    <row r="800" spans="1:9" ht="24">
      <c r="A800" s="82">
        <v>32232</v>
      </c>
      <c r="B800" s="154" t="s">
        <v>535</v>
      </c>
      <c r="C800" s="56">
        <v>0</v>
      </c>
      <c r="D800" s="121">
        <v>65000</v>
      </c>
      <c r="E800" s="121">
        <v>65000</v>
      </c>
      <c r="F800" s="27">
        <f t="shared" si="218"/>
        <v>0</v>
      </c>
      <c r="G800" s="121">
        <v>0</v>
      </c>
      <c r="H800" s="120">
        <f t="shared" si="219"/>
        <v>0</v>
      </c>
      <c r="I800" s="37"/>
    </row>
    <row r="801" spans="1:9" ht="24">
      <c r="A801" s="82">
        <v>32234</v>
      </c>
      <c r="B801" s="154" t="s">
        <v>536</v>
      </c>
      <c r="C801" s="56">
        <v>0</v>
      </c>
      <c r="D801" s="121">
        <v>0</v>
      </c>
      <c r="E801" s="121">
        <v>0</v>
      </c>
      <c r="F801" s="27">
        <f t="shared" si="218"/>
        <v>0</v>
      </c>
      <c r="G801" s="121">
        <v>0</v>
      </c>
      <c r="H801" s="120">
        <f t="shared" si="219"/>
        <v>0</v>
      </c>
      <c r="I801" s="37"/>
    </row>
    <row r="802" spans="1:9" ht="24">
      <c r="A802" s="82">
        <v>32238</v>
      </c>
      <c r="B802" s="154" t="s">
        <v>537</v>
      </c>
      <c r="C802" s="56">
        <v>78464427</v>
      </c>
      <c r="D802" s="121">
        <v>0</v>
      </c>
      <c r="E802" s="121">
        <v>0</v>
      </c>
      <c r="F802" s="27">
        <f t="shared" si="218"/>
        <v>78464427</v>
      </c>
      <c r="G802" s="121">
        <v>0</v>
      </c>
      <c r="H802" s="120">
        <f t="shared" si="219"/>
        <v>78464427</v>
      </c>
      <c r="I802" s="37"/>
    </row>
    <row r="803" spans="1:9" ht="24">
      <c r="A803" s="82">
        <v>32243</v>
      </c>
      <c r="B803" s="154" t="s">
        <v>545</v>
      </c>
      <c r="C803" s="56">
        <v>0</v>
      </c>
      <c r="D803" s="121">
        <v>0</v>
      </c>
      <c r="E803" s="121">
        <v>0</v>
      </c>
      <c r="F803" s="27">
        <f t="shared" si="218"/>
        <v>0</v>
      </c>
      <c r="G803" s="121">
        <v>0</v>
      </c>
      <c r="H803" s="120">
        <f t="shared" si="219"/>
        <v>0</v>
      </c>
      <c r="I803" s="37"/>
    </row>
    <row r="804" spans="1:9" ht="24">
      <c r="A804" s="82">
        <v>32244</v>
      </c>
      <c r="B804" s="154" t="s">
        <v>568</v>
      </c>
      <c r="C804" s="56">
        <v>0</v>
      </c>
      <c r="D804" s="121">
        <v>57889</v>
      </c>
      <c r="E804" s="121">
        <v>57889</v>
      </c>
      <c r="F804" s="27">
        <f t="shared" si="218"/>
        <v>0</v>
      </c>
      <c r="G804" s="121">
        <v>0</v>
      </c>
      <c r="H804" s="120">
        <f t="shared" si="219"/>
        <v>0</v>
      </c>
      <c r="I804" s="37"/>
    </row>
    <row r="805" spans="1:9" ht="12">
      <c r="A805" s="82">
        <v>32246</v>
      </c>
      <c r="B805" s="154" t="s">
        <v>520</v>
      </c>
      <c r="C805" s="56">
        <v>0</v>
      </c>
      <c r="D805" s="121">
        <v>0</v>
      </c>
      <c r="E805" s="121">
        <v>0</v>
      </c>
      <c r="F805" s="27">
        <f t="shared" si="218"/>
        <v>0</v>
      </c>
      <c r="G805" s="121">
        <v>0</v>
      </c>
      <c r="H805" s="120">
        <f t="shared" si="219"/>
        <v>0</v>
      </c>
      <c r="I805" s="37"/>
    </row>
    <row r="806" spans="1:9" ht="12">
      <c r="A806" s="82">
        <v>32258</v>
      </c>
      <c r="B806" s="154" t="s">
        <v>555</v>
      </c>
      <c r="C806" s="56">
        <v>340218</v>
      </c>
      <c r="D806" s="121">
        <v>744377</v>
      </c>
      <c r="E806" s="121">
        <v>884394</v>
      </c>
      <c r="F806" s="27">
        <f t="shared" si="218"/>
        <v>200201</v>
      </c>
      <c r="G806" s="121">
        <v>0</v>
      </c>
      <c r="H806" s="120">
        <f t="shared" si="219"/>
        <v>200201</v>
      </c>
      <c r="I806" s="37"/>
    </row>
    <row r="807" spans="1:9" ht="12">
      <c r="A807" s="82">
        <v>32291</v>
      </c>
      <c r="B807" s="154" t="s">
        <v>542</v>
      </c>
      <c r="C807" s="56">
        <v>717737772</v>
      </c>
      <c r="D807" s="121">
        <v>31977519</v>
      </c>
      <c r="E807" s="121">
        <v>5486807</v>
      </c>
      <c r="F807" s="27">
        <f t="shared" si="218"/>
        <v>744228484</v>
      </c>
      <c r="G807" s="121">
        <v>0</v>
      </c>
      <c r="H807" s="120">
        <f t="shared" si="219"/>
        <v>744228484</v>
      </c>
      <c r="I807" s="37"/>
    </row>
    <row r="808" spans="1:9" ht="12">
      <c r="A808" s="82">
        <v>33000</v>
      </c>
      <c r="B808" s="153" t="s">
        <v>569</v>
      </c>
      <c r="C808" s="54">
        <f aca="true" t="shared" si="220" ref="C808:H808">SUM(C809:C826)</f>
        <v>2808022279</v>
      </c>
      <c r="D808" s="118">
        <f t="shared" si="220"/>
        <v>3044129685</v>
      </c>
      <c r="E808" s="118">
        <f t="shared" si="220"/>
        <v>469</v>
      </c>
      <c r="F808" s="118">
        <f t="shared" si="220"/>
        <v>5852151495</v>
      </c>
      <c r="G808" s="118">
        <f t="shared" si="220"/>
        <v>0</v>
      </c>
      <c r="H808" s="119">
        <f t="shared" si="220"/>
        <v>5852151495</v>
      </c>
      <c r="I808" s="37"/>
    </row>
    <row r="809" spans="1:9" ht="24">
      <c r="A809" s="82">
        <v>33011</v>
      </c>
      <c r="B809" s="154" t="s">
        <v>526</v>
      </c>
      <c r="C809" s="56">
        <v>2586633</v>
      </c>
      <c r="D809" s="121">
        <v>2748513</v>
      </c>
      <c r="E809" s="121">
        <v>0</v>
      </c>
      <c r="F809" s="27">
        <f aca="true" t="shared" si="221" ref="F809:F826">C809+D809-E809</f>
        <v>5335146</v>
      </c>
      <c r="G809" s="121">
        <v>0</v>
      </c>
      <c r="H809" s="120">
        <f>F809</f>
        <v>5335146</v>
      </c>
      <c r="I809" s="37"/>
    </row>
    <row r="810" spans="1:9" ht="12">
      <c r="A810" s="82">
        <v>33012</v>
      </c>
      <c r="B810" s="154" t="s">
        <v>527</v>
      </c>
      <c r="C810" s="56">
        <v>344186</v>
      </c>
      <c r="D810" s="121">
        <v>67345</v>
      </c>
      <c r="E810" s="121">
        <v>0</v>
      </c>
      <c r="F810" s="27">
        <f t="shared" si="221"/>
        <v>411531</v>
      </c>
      <c r="G810" s="121">
        <v>0</v>
      </c>
      <c r="H810" s="120">
        <f aca="true" t="shared" si="222" ref="H810:H826">F810</f>
        <v>411531</v>
      </c>
      <c r="I810" s="37"/>
    </row>
    <row r="811" spans="1:9" ht="24">
      <c r="A811" s="82">
        <v>33013</v>
      </c>
      <c r="B811" s="154" t="s">
        <v>566</v>
      </c>
      <c r="C811" s="56">
        <v>369616</v>
      </c>
      <c r="D811" s="121">
        <v>250632</v>
      </c>
      <c r="E811" s="121">
        <v>0</v>
      </c>
      <c r="F811" s="27">
        <f t="shared" si="221"/>
        <v>620248</v>
      </c>
      <c r="G811" s="121">
        <v>0</v>
      </c>
      <c r="H811" s="120">
        <f t="shared" si="222"/>
        <v>620248</v>
      </c>
      <c r="I811" s="37"/>
    </row>
    <row r="812" spans="1:9" ht="24">
      <c r="A812" s="82">
        <v>33014</v>
      </c>
      <c r="B812" s="154" t="s">
        <v>529</v>
      </c>
      <c r="C812" s="56">
        <v>467171</v>
      </c>
      <c r="D812" s="121">
        <v>392451</v>
      </c>
      <c r="E812" s="121">
        <v>0</v>
      </c>
      <c r="F812" s="27">
        <f t="shared" si="221"/>
        <v>859622</v>
      </c>
      <c r="G812" s="121">
        <v>0</v>
      </c>
      <c r="H812" s="120">
        <f t="shared" si="222"/>
        <v>859622</v>
      </c>
      <c r="I812" s="37"/>
    </row>
    <row r="813" spans="1:9" ht="12">
      <c r="A813" s="82">
        <v>33015</v>
      </c>
      <c r="B813" s="154" t="s">
        <v>530</v>
      </c>
      <c r="C813" s="56">
        <v>354638</v>
      </c>
      <c r="D813" s="121">
        <v>79126</v>
      </c>
      <c r="E813" s="121">
        <v>0</v>
      </c>
      <c r="F813" s="27">
        <f t="shared" si="221"/>
        <v>433764</v>
      </c>
      <c r="G813" s="121">
        <v>0</v>
      </c>
      <c r="H813" s="120">
        <f t="shared" si="222"/>
        <v>433764</v>
      </c>
      <c r="I813" s="37"/>
    </row>
    <row r="814" spans="1:9" ht="12">
      <c r="A814" s="82">
        <v>33016</v>
      </c>
      <c r="B814" s="154" t="s">
        <v>570</v>
      </c>
      <c r="C814" s="56">
        <v>283407</v>
      </c>
      <c r="D814" s="121">
        <v>273766</v>
      </c>
      <c r="E814" s="121">
        <v>0</v>
      </c>
      <c r="F814" s="27">
        <f t="shared" si="221"/>
        <v>557173</v>
      </c>
      <c r="G814" s="121">
        <v>0</v>
      </c>
      <c r="H814" s="120">
        <f t="shared" si="222"/>
        <v>557173</v>
      </c>
      <c r="I814" s="37"/>
    </row>
    <row r="815" spans="1:9" ht="12">
      <c r="A815" s="82">
        <v>33017</v>
      </c>
      <c r="B815" s="154" t="s">
        <v>567</v>
      </c>
      <c r="C815" s="56">
        <v>4988</v>
      </c>
      <c r="D815" s="121">
        <v>28082</v>
      </c>
      <c r="E815" s="121">
        <v>469</v>
      </c>
      <c r="F815" s="27">
        <f t="shared" si="221"/>
        <v>32601</v>
      </c>
      <c r="G815" s="121">
        <v>0</v>
      </c>
      <c r="H815" s="120">
        <f t="shared" si="222"/>
        <v>32601</v>
      </c>
      <c r="I815" s="37"/>
    </row>
    <row r="816" spans="1:9" ht="12">
      <c r="A816" s="82">
        <v>33018</v>
      </c>
      <c r="B816" s="154" t="s">
        <v>560</v>
      </c>
      <c r="C816" s="56">
        <v>0</v>
      </c>
      <c r="D816" s="121">
        <v>0</v>
      </c>
      <c r="E816" s="121">
        <v>0</v>
      </c>
      <c r="F816" s="27">
        <f t="shared" si="221"/>
        <v>0</v>
      </c>
      <c r="G816" s="121">
        <v>0</v>
      </c>
      <c r="H816" s="120">
        <f t="shared" si="222"/>
        <v>0</v>
      </c>
      <c r="I816" s="37"/>
    </row>
    <row r="817" spans="1:9" ht="12">
      <c r="A817" s="82">
        <v>33020</v>
      </c>
      <c r="B817" s="154" t="s">
        <v>515</v>
      </c>
      <c r="C817" s="56">
        <v>8549284</v>
      </c>
      <c r="D817" s="121">
        <v>1990733</v>
      </c>
      <c r="E817" s="121">
        <v>0</v>
      </c>
      <c r="F817" s="27">
        <f t="shared" si="221"/>
        <v>10540017</v>
      </c>
      <c r="G817" s="121">
        <v>0</v>
      </c>
      <c r="H817" s="120">
        <f t="shared" si="222"/>
        <v>10540017</v>
      </c>
      <c r="I817" s="37"/>
    </row>
    <row r="818" spans="1:9" ht="24">
      <c r="A818" s="82">
        <v>33021</v>
      </c>
      <c r="B818" s="154" t="s">
        <v>552</v>
      </c>
      <c r="C818" s="56">
        <v>243888</v>
      </c>
      <c r="D818" s="121">
        <v>505015</v>
      </c>
      <c r="E818" s="121">
        <v>0</v>
      </c>
      <c r="F818" s="27">
        <f t="shared" si="221"/>
        <v>748903</v>
      </c>
      <c r="G818" s="121">
        <v>0</v>
      </c>
      <c r="H818" s="120">
        <f t="shared" si="222"/>
        <v>748903</v>
      </c>
      <c r="I818" s="37"/>
    </row>
    <row r="819" spans="1:9" ht="24">
      <c r="A819" s="82">
        <v>33032</v>
      </c>
      <c r="B819" s="154" t="s">
        <v>535</v>
      </c>
      <c r="C819" s="56">
        <v>1056055</v>
      </c>
      <c r="D819" s="121">
        <v>846375</v>
      </c>
      <c r="E819" s="121">
        <v>0</v>
      </c>
      <c r="F819" s="27">
        <f t="shared" si="221"/>
        <v>1902430</v>
      </c>
      <c r="G819" s="121">
        <v>0</v>
      </c>
      <c r="H819" s="120">
        <f t="shared" si="222"/>
        <v>1902430</v>
      </c>
      <c r="I819" s="37"/>
    </row>
    <row r="820" spans="1:9" ht="24">
      <c r="A820" s="82">
        <v>33034</v>
      </c>
      <c r="B820" s="154" t="s">
        <v>536</v>
      </c>
      <c r="C820" s="56">
        <v>0</v>
      </c>
      <c r="D820" s="121">
        <v>635710</v>
      </c>
      <c r="E820" s="121">
        <v>0</v>
      </c>
      <c r="F820" s="27">
        <f t="shared" si="221"/>
        <v>635710</v>
      </c>
      <c r="G820" s="121">
        <v>0</v>
      </c>
      <c r="H820" s="120">
        <f t="shared" si="222"/>
        <v>635710</v>
      </c>
      <c r="I820" s="37"/>
    </row>
    <row r="821" spans="1:9" ht="24">
      <c r="A821" s="82">
        <v>33038</v>
      </c>
      <c r="B821" s="154" t="s">
        <v>537</v>
      </c>
      <c r="C821" s="56">
        <v>264486892</v>
      </c>
      <c r="D821" s="121">
        <v>507444105</v>
      </c>
      <c r="E821" s="121">
        <v>0</v>
      </c>
      <c r="F821" s="27">
        <f t="shared" si="221"/>
        <v>771930997</v>
      </c>
      <c r="G821" s="121">
        <v>0</v>
      </c>
      <c r="H821" s="120">
        <f t="shared" si="222"/>
        <v>771930997</v>
      </c>
      <c r="I821" s="37"/>
    </row>
    <row r="822" spans="1:9" ht="24">
      <c r="A822" s="82">
        <v>33043</v>
      </c>
      <c r="B822" s="154" t="s">
        <v>545</v>
      </c>
      <c r="C822" s="56">
        <v>2028143</v>
      </c>
      <c r="D822" s="121">
        <v>0</v>
      </c>
      <c r="E822" s="121">
        <v>0</v>
      </c>
      <c r="F822" s="27">
        <f t="shared" si="221"/>
        <v>2028143</v>
      </c>
      <c r="G822" s="121">
        <v>0</v>
      </c>
      <c r="H822" s="120">
        <f t="shared" si="222"/>
        <v>2028143</v>
      </c>
      <c r="I822" s="37"/>
    </row>
    <row r="823" spans="1:9" ht="24">
      <c r="A823" s="82">
        <v>33044</v>
      </c>
      <c r="B823" s="154" t="s">
        <v>546</v>
      </c>
      <c r="C823" s="56">
        <v>0</v>
      </c>
      <c r="D823" s="121">
        <v>574833</v>
      </c>
      <c r="E823" s="121">
        <v>0</v>
      </c>
      <c r="F823" s="27">
        <f t="shared" si="221"/>
        <v>574833</v>
      </c>
      <c r="G823" s="121">
        <v>0</v>
      </c>
      <c r="H823" s="120">
        <f t="shared" si="222"/>
        <v>574833</v>
      </c>
      <c r="I823" s="37"/>
    </row>
    <row r="824" spans="1:9" ht="12">
      <c r="A824" s="82">
        <v>33046</v>
      </c>
      <c r="B824" s="154" t="s">
        <v>540</v>
      </c>
      <c r="C824" s="56">
        <v>341409786</v>
      </c>
      <c r="D824" s="121">
        <v>350039372</v>
      </c>
      <c r="E824" s="121">
        <v>0</v>
      </c>
      <c r="F824" s="27">
        <f t="shared" si="221"/>
        <v>691449158</v>
      </c>
      <c r="G824" s="121">
        <v>0</v>
      </c>
      <c r="H824" s="120">
        <f t="shared" si="222"/>
        <v>691449158</v>
      </c>
      <c r="I824" s="37"/>
    </row>
    <row r="825" spans="1:9" ht="12">
      <c r="A825" s="82">
        <v>33058</v>
      </c>
      <c r="B825" s="154" t="s">
        <v>571</v>
      </c>
      <c r="C825" s="56">
        <v>35074809</v>
      </c>
      <c r="D825" s="121">
        <v>23123075</v>
      </c>
      <c r="E825" s="121">
        <v>0</v>
      </c>
      <c r="F825" s="27">
        <f t="shared" si="221"/>
        <v>58197884</v>
      </c>
      <c r="G825" s="121">
        <v>0</v>
      </c>
      <c r="H825" s="120">
        <f t="shared" si="222"/>
        <v>58197884</v>
      </c>
      <c r="I825" s="37"/>
    </row>
    <row r="826" spans="1:9" ht="12">
      <c r="A826" s="82">
        <v>33091</v>
      </c>
      <c r="B826" s="154" t="s">
        <v>542</v>
      </c>
      <c r="C826" s="56">
        <v>2150762783</v>
      </c>
      <c r="D826" s="121">
        <v>2155130552</v>
      </c>
      <c r="E826" s="121">
        <v>0</v>
      </c>
      <c r="F826" s="27">
        <f t="shared" si="221"/>
        <v>4305893335</v>
      </c>
      <c r="G826" s="121">
        <v>0</v>
      </c>
      <c r="H826" s="120">
        <f t="shared" si="222"/>
        <v>4305893335</v>
      </c>
      <c r="I826" s="37"/>
    </row>
    <row r="827" spans="1:9" ht="12">
      <c r="A827" s="82">
        <v>40000</v>
      </c>
      <c r="B827" s="153" t="s">
        <v>497</v>
      </c>
      <c r="C827" s="54">
        <f aca="true" t="shared" si="223" ref="C827:H827">C828+C833+C839+C844</f>
        <v>0</v>
      </c>
      <c r="D827" s="54">
        <f t="shared" si="223"/>
        <v>68243607</v>
      </c>
      <c r="E827" s="54">
        <f t="shared" si="223"/>
        <v>68243607</v>
      </c>
      <c r="F827" s="54">
        <f t="shared" si="223"/>
        <v>0</v>
      </c>
      <c r="G827" s="54">
        <f t="shared" si="223"/>
        <v>0</v>
      </c>
      <c r="H827" s="55">
        <f t="shared" si="223"/>
        <v>0</v>
      </c>
      <c r="I827" s="37"/>
    </row>
    <row r="828" spans="1:9" ht="24">
      <c r="A828" s="82">
        <v>40500</v>
      </c>
      <c r="B828" s="153" t="s">
        <v>572</v>
      </c>
      <c r="C828" s="54">
        <f aca="true" t="shared" si="224" ref="C828:H828">SUM(C829:C832)</f>
        <v>-268928487</v>
      </c>
      <c r="D828" s="118">
        <f t="shared" si="224"/>
        <v>33684</v>
      </c>
      <c r="E828" s="118">
        <f t="shared" si="224"/>
        <v>0</v>
      </c>
      <c r="F828" s="118">
        <f t="shared" si="224"/>
        <v>-268894803</v>
      </c>
      <c r="G828" s="118">
        <f t="shared" si="224"/>
        <v>0</v>
      </c>
      <c r="H828" s="119">
        <f t="shared" si="224"/>
        <v>-268894803</v>
      </c>
      <c r="I828" s="37"/>
    </row>
    <row r="829" spans="1:9" ht="12">
      <c r="A829" s="82">
        <v>40501</v>
      </c>
      <c r="B829" s="154" t="s">
        <v>262</v>
      </c>
      <c r="C829" s="56">
        <v>-610301</v>
      </c>
      <c r="D829" s="121">
        <v>8876</v>
      </c>
      <c r="E829" s="121">
        <v>0</v>
      </c>
      <c r="F829" s="27">
        <f>C829+D829-E829</f>
        <v>-601425</v>
      </c>
      <c r="G829" s="121">
        <v>0</v>
      </c>
      <c r="H829" s="120">
        <f aca="true" t="shared" si="225" ref="H829:H849">+F829</f>
        <v>-601425</v>
      </c>
      <c r="I829" s="37"/>
    </row>
    <row r="830" spans="1:9" ht="12">
      <c r="A830" s="82">
        <v>40502</v>
      </c>
      <c r="B830" s="154" t="s">
        <v>263</v>
      </c>
      <c r="C830" s="56">
        <v>-535197</v>
      </c>
      <c r="D830" s="121">
        <v>0</v>
      </c>
      <c r="E830" s="121">
        <v>0</v>
      </c>
      <c r="F830" s="27">
        <f>C830+D830-E830</f>
        <v>-535197</v>
      </c>
      <c r="G830" s="121">
        <v>0</v>
      </c>
      <c r="H830" s="120">
        <f t="shared" si="225"/>
        <v>-535197</v>
      </c>
      <c r="I830" s="37"/>
    </row>
    <row r="831" spans="1:9" ht="12">
      <c r="A831" s="82">
        <v>40503</v>
      </c>
      <c r="B831" s="154" t="s">
        <v>265</v>
      </c>
      <c r="C831" s="56">
        <v>-54569253</v>
      </c>
      <c r="D831" s="121">
        <v>0</v>
      </c>
      <c r="E831" s="121">
        <v>0</v>
      </c>
      <c r="F831" s="27">
        <f>C831+D831-E831</f>
        <v>-54569253</v>
      </c>
      <c r="G831" s="121">
        <v>0</v>
      </c>
      <c r="H831" s="120">
        <f t="shared" si="225"/>
        <v>-54569253</v>
      </c>
      <c r="I831" s="37"/>
    </row>
    <row r="832" spans="1:9" ht="12">
      <c r="A832" s="82">
        <v>40508</v>
      </c>
      <c r="B832" s="154" t="s">
        <v>264</v>
      </c>
      <c r="C832" s="56">
        <v>-213213736</v>
      </c>
      <c r="D832" s="121">
        <v>24808</v>
      </c>
      <c r="E832" s="121">
        <v>0</v>
      </c>
      <c r="F832" s="27">
        <f>C832+D832-E832</f>
        <v>-213188928</v>
      </c>
      <c r="G832" s="121">
        <v>0</v>
      </c>
      <c r="H832" s="120">
        <f t="shared" si="225"/>
        <v>-213188928</v>
      </c>
      <c r="I832" s="37"/>
    </row>
    <row r="833" spans="1:9" ht="24">
      <c r="A833" s="82">
        <v>41000</v>
      </c>
      <c r="B833" s="153" t="s">
        <v>573</v>
      </c>
      <c r="C833" s="54">
        <f aca="true" t="shared" si="226" ref="C833:H833">SUM(C834:C838)</f>
        <v>223252734</v>
      </c>
      <c r="D833" s="118">
        <f t="shared" si="226"/>
        <v>0</v>
      </c>
      <c r="E833" s="118">
        <f t="shared" si="226"/>
        <v>54540616</v>
      </c>
      <c r="F833" s="118">
        <f t="shared" si="226"/>
        <v>168712118</v>
      </c>
      <c r="G833" s="118">
        <f t="shared" si="226"/>
        <v>0</v>
      </c>
      <c r="H833" s="119">
        <f t="shared" si="226"/>
        <v>168712118</v>
      </c>
      <c r="I833" s="37"/>
    </row>
    <row r="834" spans="1:9" ht="12">
      <c r="A834" s="82">
        <v>41001</v>
      </c>
      <c r="B834" s="154" t="s">
        <v>262</v>
      </c>
      <c r="C834" s="56">
        <v>494039</v>
      </c>
      <c r="D834" s="121">
        <v>0</v>
      </c>
      <c r="E834" s="121">
        <f>214044+1</f>
        <v>214045</v>
      </c>
      <c r="F834" s="27">
        <f aca="true" t="shared" si="227" ref="F834:F874">+C834+D834-E834</f>
        <v>279994</v>
      </c>
      <c r="G834" s="121">
        <v>0</v>
      </c>
      <c r="H834" s="120">
        <f t="shared" si="225"/>
        <v>279994</v>
      </c>
      <c r="I834" s="37"/>
    </row>
    <row r="835" spans="1:9" ht="12">
      <c r="A835" s="82">
        <v>41002</v>
      </c>
      <c r="B835" s="154" t="s">
        <v>263</v>
      </c>
      <c r="C835" s="56">
        <v>301039</v>
      </c>
      <c r="D835" s="121">
        <v>0</v>
      </c>
      <c r="E835" s="121">
        <v>205814</v>
      </c>
      <c r="F835" s="27">
        <f t="shared" si="227"/>
        <v>95225</v>
      </c>
      <c r="G835" s="121">
        <v>0</v>
      </c>
      <c r="H835" s="120">
        <f t="shared" si="225"/>
        <v>95225</v>
      </c>
      <c r="I835" s="37"/>
    </row>
    <row r="836" spans="1:9" ht="12">
      <c r="A836" s="82">
        <v>41003</v>
      </c>
      <c r="B836" s="154" t="s">
        <v>265</v>
      </c>
      <c r="C836" s="56">
        <v>54131431</v>
      </c>
      <c r="D836" s="121">
        <v>0</v>
      </c>
      <c r="E836" s="121">
        <v>117772</v>
      </c>
      <c r="F836" s="27">
        <f t="shared" si="227"/>
        <v>54013659</v>
      </c>
      <c r="G836" s="121">
        <v>0</v>
      </c>
      <c r="H836" s="120">
        <f t="shared" si="225"/>
        <v>54013659</v>
      </c>
      <c r="I836" s="37"/>
    </row>
    <row r="837" spans="1:9" ht="12">
      <c r="A837" s="82">
        <v>41004</v>
      </c>
      <c r="B837" s="154" t="s">
        <v>574</v>
      </c>
      <c r="C837" s="56">
        <v>0</v>
      </c>
      <c r="D837" s="121">
        <v>0</v>
      </c>
      <c r="E837" s="121">
        <v>0</v>
      </c>
      <c r="F837" s="27">
        <f t="shared" si="227"/>
        <v>0</v>
      </c>
      <c r="G837" s="121">
        <v>0</v>
      </c>
      <c r="H837" s="120">
        <f t="shared" si="225"/>
        <v>0</v>
      </c>
      <c r="I837" s="37"/>
    </row>
    <row r="838" spans="1:9" ht="12">
      <c r="A838" s="82">
        <v>41008</v>
      </c>
      <c r="B838" s="154" t="s">
        <v>264</v>
      </c>
      <c r="C838" s="56">
        <v>168326225</v>
      </c>
      <c r="D838" s="121">
        <v>0</v>
      </c>
      <c r="E838" s="121">
        <f>54002986-1</f>
        <v>54002985</v>
      </c>
      <c r="F838" s="27">
        <f t="shared" si="227"/>
        <v>114323240</v>
      </c>
      <c r="G838" s="121">
        <v>0</v>
      </c>
      <c r="H838" s="120">
        <f t="shared" si="225"/>
        <v>114323240</v>
      </c>
      <c r="I838" s="37"/>
    </row>
    <row r="839" spans="1:9" ht="24">
      <c r="A839" s="82">
        <v>41500</v>
      </c>
      <c r="B839" s="153" t="s">
        <v>575</v>
      </c>
      <c r="C839" s="54">
        <f aca="true" t="shared" si="228" ref="C839:H839">SUM(C840:C843)</f>
        <v>3163490</v>
      </c>
      <c r="D839" s="118">
        <f t="shared" si="228"/>
        <v>13398227</v>
      </c>
      <c r="E839" s="118">
        <f t="shared" si="228"/>
        <v>13702991</v>
      </c>
      <c r="F839" s="118">
        <f t="shared" si="228"/>
        <v>2858726</v>
      </c>
      <c r="G839" s="118">
        <f t="shared" si="228"/>
        <v>0</v>
      </c>
      <c r="H839" s="119">
        <f t="shared" si="228"/>
        <v>2858726</v>
      </c>
      <c r="I839" s="37"/>
    </row>
    <row r="840" spans="1:9" ht="12">
      <c r="A840" s="82">
        <v>41501</v>
      </c>
      <c r="B840" s="154" t="s">
        <v>576</v>
      </c>
      <c r="C840" s="56">
        <v>22850</v>
      </c>
      <c r="D840" s="121">
        <v>14475</v>
      </c>
      <c r="E840" s="121">
        <v>23267</v>
      </c>
      <c r="F840" s="27">
        <f t="shared" si="227"/>
        <v>14058</v>
      </c>
      <c r="G840" s="121">
        <v>0</v>
      </c>
      <c r="H840" s="120">
        <f t="shared" si="225"/>
        <v>14058</v>
      </c>
      <c r="I840" s="37"/>
    </row>
    <row r="841" spans="1:9" ht="12">
      <c r="A841" s="82">
        <v>41502</v>
      </c>
      <c r="B841" s="154" t="s">
        <v>263</v>
      </c>
      <c r="C841" s="56">
        <v>45735</v>
      </c>
      <c r="D841" s="121">
        <v>23190</v>
      </c>
      <c r="E841" s="121">
        <v>64661</v>
      </c>
      <c r="F841" s="27">
        <f t="shared" si="227"/>
        <v>4264</v>
      </c>
      <c r="G841" s="121">
        <v>0</v>
      </c>
      <c r="H841" s="120">
        <f t="shared" si="225"/>
        <v>4264</v>
      </c>
      <c r="I841" s="37"/>
    </row>
    <row r="842" spans="1:9" ht="12">
      <c r="A842" s="82">
        <v>41503</v>
      </c>
      <c r="B842" s="154" t="s">
        <v>265</v>
      </c>
      <c r="C842" s="56">
        <v>1500</v>
      </c>
      <c r="D842" s="121">
        <v>3587</v>
      </c>
      <c r="E842" s="121">
        <v>5087</v>
      </c>
      <c r="F842" s="27">
        <f t="shared" si="227"/>
        <v>0</v>
      </c>
      <c r="G842" s="121">
        <v>0</v>
      </c>
      <c r="H842" s="120">
        <f t="shared" si="225"/>
        <v>0</v>
      </c>
      <c r="I842" s="37"/>
    </row>
    <row r="843" spans="1:9" ht="12">
      <c r="A843" s="82">
        <v>41508</v>
      </c>
      <c r="B843" s="154" t="s">
        <v>264</v>
      </c>
      <c r="C843" s="56">
        <v>3093405</v>
      </c>
      <c r="D843" s="121">
        <v>13356975</v>
      </c>
      <c r="E843" s="121">
        <v>13609976</v>
      </c>
      <c r="F843" s="27">
        <f t="shared" si="227"/>
        <v>2840404</v>
      </c>
      <c r="G843" s="121">
        <v>0</v>
      </c>
      <c r="H843" s="120">
        <f t="shared" si="225"/>
        <v>2840404</v>
      </c>
      <c r="I843" s="37"/>
    </row>
    <row r="844" spans="1:9" ht="12">
      <c r="A844" s="82">
        <v>42000</v>
      </c>
      <c r="B844" s="153" t="s">
        <v>577</v>
      </c>
      <c r="C844" s="54">
        <f aca="true" t="shared" si="229" ref="C844:H844">SUM(C845:C849)</f>
        <v>42512263</v>
      </c>
      <c r="D844" s="118">
        <f t="shared" si="229"/>
        <v>54811696</v>
      </c>
      <c r="E844" s="118">
        <f t="shared" si="229"/>
        <v>0</v>
      </c>
      <c r="F844" s="118">
        <f t="shared" si="229"/>
        <v>97323959</v>
      </c>
      <c r="G844" s="118">
        <f t="shared" si="229"/>
        <v>0</v>
      </c>
      <c r="H844" s="119">
        <f t="shared" si="229"/>
        <v>97323959</v>
      </c>
      <c r="I844" s="37"/>
    </row>
    <row r="845" spans="1:9" ht="12">
      <c r="A845" s="82">
        <v>42001</v>
      </c>
      <c r="B845" s="154" t="str">
        <f>+B840</f>
        <v>Servicios Personales</v>
      </c>
      <c r="C845" s="56">
        <v>93412</v>
      </c>
      <c r="D845" s="121">
        <v>213961</v>
      </c>
      <c r="E845" s="121">
        <v>0</v>
      </c>
      <c r="F845" s="27">
        <f t="shared" si="227"/>
        <v>307373</v>
      </c>
      <c r="G845" s="121">
        <v>0</v>
      </c>
      <c r="H845" s="120">
        <f t="shared" si="225"/>
        <v>307373</v>
      </c>
      <c r="I845" s="37"/>
    </row>
    <row r="846" spans="1:9" ht="12">
      <c r="A846" s="82">
        <v>42002</v>
      </c>
      <c r="B846" s="154" t="s">
        <v>263</v>
      </c>
      <c r="C846" s="56">
        <v>188423</v>
      </c>
      <c r="D846" s="121">
        <v>247285</v>
      </c>
      <c r="E846" s="121">
        <v>0</v>
      </c>
      <c r="F846" s="27">
        <f t="shared" si="227"/>
        <v>435708</v>
      </c>
      <c r="G846" s="121">
        <v>0</v>
      </c>
      <c r="H846" s="120">
        <f t="shared" si="225"/>
        <v>435708</v>
      </c>
      <c r="I846" s="37"/>
    </row>
    <row r="847" spans="1:9" ht="12">
      <c r="A847" s="82">
        <v>42003</v>
      </c>
      <c r="B847" s="154" t="s">
        <v>446</v>
      </c>
      <c r="C847" s="56">
        <v>436322</v>
      </c>
      <c r="D847" s="121">
        <v>119272</v>
      </c>
      <c r="E847" s="121">
        <v>0</v>
      </c>
      <c r="F847" s="27">
        <f t="shared" si="227"/>
        <v>555594</v>
      </c>
      <c r="G847" s="121">
        <v>0</v>
      </c>
      <c r="H847" s="120">
        <f t="shared" si="225"/>
        <v>555594</v>
      </c>
      <c r="I847" s="37"/>
    </row>
    <row r="848" spans="1:9" ht="12">
      <c r="A848" s="82">
        <v>42004</v>
      </c>
      <c r="B848" s="154" t="s">
        <v>574</v>
      </c>
      <c r="C848" s="56">
        <v>0</v>
      </c>
      <c r="D848" s="121">
        <v>0</v>
      </c>
      <c r="E848" s="121">
        <v>0</v>
      </c>
      <c r="F848" s="27">
        <f t="shared" si="227"/>
        <v>0</v>
      </c>
      <c r="G848" s="121">
        <v>0</v>
      </c>
      <c r="H848" s="120">
        <f t="shared" si="225"/>
        <v>0</v>
      </c>
      <c r="I848" s="37"/>
    </row>
    <row r="849" spans="1:9" ht="12">
      <c r="A849" s="82">
        <v>42008</v>
      </c>
      <c r="B849" s="154" t="s">
        <v>264</v>
      </c>
      <c r="C849" s="56">
        <v>41794106</v>
      </c>
      <c r="D849" s="121">
        <v>54231178</v>
      </c>
      <c r="E849" s="121">
        <v>0</v>
      </c>
      <c r="F849" s="27">
        <f t="shared" si="227"/>
        <v>96025284</v>
      </c>
      <c r="G849" s="121">
        <v>0</v>
      </c>
      <c r="H849" s="120">
        <f t="shared" si="225"/>
        <v>96025284</v>
      </c>
      <c r="I849" s="37"/>
    </row>
    <row r="850" spans="1:9" ht="12">
      <c r="A850" s="82">
        <v>50000</v>
      </c>
      <c r="B850" s="153" t="s">
        <v>133</v>
      </c>
      <c r="C850" s="54">
        <f aca="true" t="shared" si="230" ref="C850:H850">C851+C856+C861</f>
        <v>0</v>
      </c>
      <c r="D850" s="54">
        <f t="shared" si="230"/>
        <v>44275</v>
      </c>
      <c r="E850" s="54">
        <f t="shared" si="230"/>
        <v>44275</v>
      </c>
      <c r="F850" s="54">
        <f t="shared" si="230"/>
        <v>0</v>
      </c>
      <c r="G850" s="54">
        <f t="shared" si="230"/>
        <v>0</v>
      </c>
      <c r="H850" s="55">
        <f t="shared" si="230"/>
        <v>0</v>
      </c>
      <c r="I850" s="37"/>
    </row>
    <row r="851" spans="1:9" ht="12">
      <c r="A851" s="82">
        <v>50500</v>
      </c>
      <c r="B851" s="153" t="s">
        <v>578</v>
      </c>
      <c r="C851" s="54">
        <f aca="true" t="shared" si="231" ref="C851:H851">SUM(C852:C855)</f>
        <v>-3326620</v>
      </c>
      <c r="D851" s="118">
        <f t="shared" si="231"/>
        <v>0</v>
      </c>
      <c r="E851" s="118">
        <f t="shared" si="231"/>
        <v>0</v>
      </c>
      <c r="F851" s="118">
        <f t="shared" si="231"/>
        <v>-3326620</v>
      </c>
      <c r="G851" s="118">
        <f t="shared" si="231"/>
        <v>0</v>
      </c>
      <c r="H851" s="119">
        <f t="shared" si="231"/>
        <v>-3326620</v>
      </c>
      <c r="I851" s="37"/>
    </row>
    <row r="852" spans="1:9" ht="12">
      <c r="A852" s="82">
        <v>50501</v>
      </c>
      <c r="B852" s="154" t="s">
        <v>262</v>
      </c>
      <c r="C852" s="56">
        <v>-18223</v>
      </c>
      <c r="D852" s="121">
        <v>0</v>
      </c>
      <c r="E852" s="121">
        <v>0</v>
      </c>
      <c r="F852" s="27">
        <f>C852+D852-E852</f>
        <v>-18223</v>
      </c>
      <c r="G852" s="121"/>
      <c r="H852" s="120">
        <f aca="true" t="shared" si="232" ref="H852:H865">+F852</f>
        <v>-18223</v>
      </c>
      <c r="I852" s="37"/>
    </row>
    <row r="853" spans="1:9" ht="12">
      <c r="A853" s="82">
        <v>50502</v>
      </c>
      <c r="B853" s="154" t="s">
        <v>263</v>
      </c>
      <c r="C853" s="56">
        <v>-89939</v>
      </c>
      <c r="D853" s="121">
        <v>0</v>
      </c>
      <c r="E853" s="121">
        <v>0</v>
      </c>
      <c r="F853" s="27">
        <f>C853+D853-E853</f>
        <v>-89939</v>
      </c>
      <c r="G853" s="121"/>
      <c r="H853" s="120">
        <f t="shared" si="232"/>
        <v>-89939</v>
      </c>
      <c r="I853" s="37"/>
    </row>
    <row r="854" spans="1:9" ht="12">
      <c r="A854" s="82">
        <v>50503</v>
      </c>
      <c r="B854" s="154" t="s">
        <v>265</v>
      </c>
      <c r="C854" s="56">
        <v>-264045</v>
      </c>
      <c r="D854" s="121">
        <v>0</v>
      </c>
      <c r="E854" s="121">
        <v>0</v>
      </c>
      <c r="F854" s="27">
        <f>C854+D854-E854</f>
        <v>-264045</v>
      </c>
      <c r="G854" s="121"/>
      <c r="H854" s="120">
        <f t="shared" si="232"/>
        <v>-264045</v>
      </c>
      <c r="I854" s="37"/>
    </row>
    <row r="855" spans="1:9" ht="12">
      <c r="A855" s="82">
        <v>50508</v>
      </c>
      <c r="B855" s="154" t="s">
        <v>264</v>
      </c>
      <c r="C855" s="56">
        <v>-2954413</v>
      </c>
      <c r="D855" s="121">
        <v>0</v>
      </c>
      <c r="E855" s="121">
        <v>0</v>
      </c>
      <c r="F855" s="27">
        <f>C855+D855-E855</f>
        <v>-2954413</v>
      </c>
      <c r="G855" s="121"/>
      <c r="H855" s="120">
        <f t="shared" si="232"/>
        <v>-2954413</v>
      </c>
      <c r="I855" s="37"/>
    </row>
    <row r="856" spans="1:9" ht="24">
      <c r="A856" s="82">
        <v>51000</v>
      </c>
      <c r="B856" s="153" t="s">
        <v>579</v>
      </c>
      <c r="C856" s="54">
        <f aca="true" t="shared" si="233" ref="C856:H856">SUM(C857:C860)</f>
        <v>1715244</v>
      </c>
      <c r="D856" s="118">
        <f t="shared" si="233"/>
        <v>0</v>
      </c>
      <c r="E856" s="118">
        <f t="shared" si="233"/>
        <v>44275</v>
      </c>
      <c r="F856" s="118">
        <f t="shared" si="233"/>
        <v>1670969</v>
      </c>
      <c r="G856" s="118">
        <f t="shared" si="233"/>
        <v>0</v>
      </c>
      <c r="H856" s="119">
        <f t="shared" si="233"/>
        <v>1670969</v>
      </c>
      <c r="I856" s="37"/>
    </row>
    <row r="857" spans="1:9" ht="12">
      <c r="A857" s="82">
        <v>51001</v>
      </c>
      <c r="B857" s="154" t="s">
        <v>262</v>
      </c>
      <c r="C857" s="56">
        <v>508</v>
      </c>
      <c r="D857" s="121">
        <v>0</v>
      </c>
      <c r="E857" s="121">
        <v>0</v>
      </c>
      <c r="F857" s="27">
        <f>C857+D857-E857</f>
        <v>508</v>
      </c>
      <c r="G857" s="121"/>
      <c r="H857" s="120">
        <f t="shared" si="232"/>
        <v>508</v>
      </c>
      <c r="I857" s="37"/>
    </row>
    <row r="858" spans="1:9" ht="12">
      <c r="A858" s="82">
        <v>51002</v>
      </c>
      <c r="B858" s="154" t="s">
        <v>263</v>
      </c>
      <c r="C858" s="56">
        <v>46101</v>
      </c>
      <c r="D858" s="121">
        <v>0</v>
      </c>
      <c r="E858" s="121">
        <v>44275</v>
      </c>
      <c r="F858" s="27">
        <f t="shared" si="227"/>
        <v>1826</v>
      </c>
      <c r="G858" s="121"/>
      <c r="H858" s="120">
        <f t="shared" si="232"/>
        <v>1826</v>
      </c>
      <c r="I858" s="37"/>
    </row>
    <row r="859" spans="1:9" ht="12">
      <c r="A859" s="82">
        <v>51003</v>
      </c>
      <c r="B859" s="154" t="s">
        <v>265</v>
      </c>
      <c r="C859" s="56">
        <v>0</v>
      </c>
      <c r="D859" s="121">
        <v>0</v>
      </c>
      <c r="E859" s="121">
        <v>0</v>
      </c>
      <c r="F859" s="27">
        <f t="shared" si="227"/>
        <v>0</v>
      </c>
      <c r="G859" s="121"/>
      <c r="H859" s="120">
        <f t="shared" si="232"/>
        <v>0</v>
      </c>
      <c r="I859" s="37"/>
    </row>
    <row r="860" spans="1:9" ht="12">
      <c r="A860" s="82">
        <v>51008</v>
      </c>
      <c r="B860" s="154" t="s">
        <v>580</v>
      </c>
      <c r="C860" s="56">
        <v>1668635</v>
      </c>
      <c r="D860" s="121">
        <v>0</v>
      </c>
      <c r="E860" s="121">
        <v>0</v>
      </c>
      <c r="F860" s="27">
        <f t="shared" si="227"/>
        <v>1668635</v>
      </c>
      <c r="G860" s="121"/>
      <c r="H860" s="120">
        <f t="shared" si="232"/>
        <v>1668635</v>
      </c>
      <c r="I860" s="37"/>
    </row>
    <row r="861" spans="1:9" ht="12">
      <c r="A861" s="82">
        <v>51500</v>
      </c>
      <c r="B861" s="153" t="s">
        <v>581</v>
      </c>
      <c r="C861" s="54">
        <f aca="true" t="shared" si="234" ref="C861:H861">SUM(C862:C865)</f>
        <v>1611376</v>
      </c>
      <c r="D861" s="118">
        <f t="shared" si="234"/>
        <v>44275</v>
      </c>
      <c r="E861" s="118">
        <f t="shared" si="234"/>
        <v>0</v>
      </c>
      <c r="F861" s="118">
        <f t="shared" si="234"/>
        <v>1655651</v>
      </c>
      <c r="G861" s="118">
        <f t="shared" si="234"/>
        <v>0</v>
      </c>
      <c r="H861" s="119">
        <f t="shared" si="234"/>
        <v>1655651</v>
      </c>
      <c r="I861" s="37"/>
    </row>
    <row r="862" spans="1:9" ht="12">
      <c r="A862" s="82">
        <v>51501</v>
      </c>
      <c r="B862" s="154" t="s">
        <v>262</v>
      </c>
      <c r="C862" s="56">
        <v>17715</v>
      </c>
      <c r="D862" s="121">
        <v>0</v>
      </c>
      <c r="E862" s="121">
        <v>0</v>
      </c>
      <c r="F862" s="27">
        <f t="shared" si="227"/>
        <v>17715</v>
      </c>
      <c r="G862" s="121"/>
      <c r="H862" s="120">
        <f t="shared" si="232"/>
        <v>17715</v>
      </c>
      <c r="I862" s="37"/>
    </row>
    <row r="863" spans="1:9" ht="12">
      <c r="A863" s="82">
        <v>51502</v>
      </c>
      <c r="B863" s="154" t="s">
        <v>263</v>
      </c>
      <c r="C863" s="56">
        <v>43838</v>
      </c>
      <c r="D863" s="121">
        <v>44275</v>
      </c>
      <c r="E863" s="121">
        <v>0</v>
      </c>
      <c r="F863" s="27">
        <f t="shared" si="227"/>
        <v>88113</v>
      </c>
      <c r="G863" s="121"/>
      <c r="H863" s="120">
        <f t="shared" si="232"/>
        <v>88113</v>
      </c>
      <c r="I863" s="37"/>
    </row>
    <row r="864" spans="1:9" ht="12">
      <c r="A864" s="82">
        <v>51503</v>
      </c>
      <c r="B864" s="154" t="s">
        <v>265</v>
      </c>
      <c r="C864" s="56">
        <v>264045</v>
      </c>
      <c r="D864" s="121">
        <v>0</v>
      </c>
      <c r="E864" s="121">
        <v>0</v>
      </c>
      <c r="F864" s="27">
        <f t="shared" si="227"/>
        <v>264045</v>
      </c>
      <c r="G864" s="121"/>
      <c r="H864" s="120">
        <f t="shared" si="232"/>
        <v>264045</v>
      </c>
      <c r="I864" s="37"/>
    </row>
    <row r="865" spans="1:9" ht="12">
      <c r="A865" s="82">
        <v>51508</v>
      </c>
      <c r="B865" s="154" t="s">
        <v>264</v>
      </c>
      <c r="C865" s="56">
        <v>1285778</v>
      </c>
      <c r="D865" s="121">
        <v>0</v>
      </c>
      <c r="E865" s="121">
        <v>0</v>
      </c>
      <c r="F865" s="27">
        <f t="shared" si="227"/>
        <v>1285778</v>
      </c>
      <c r="G865" s="121"/>
      <c r="H865" s="120">
        <f t="shared" si="232"/>
        <v>1285778</v>
      </c>
      <c r="I865" s="37"/>
    </row>
    <row r="866" spans="1:9" ht="24">
      <c r="A866" s="82">
        <v>70000</v>
      </c>
      <c r="B866" s="153" t="s">
        <v>582</v>
      </c>
      <c r="C866" s="54">
        <f aca="true" t="shared" si="235" ref="C866:H866">C867</f>
        <v>-407862467</v>
      </c>
      <c r="D866" s="54">
        <f t="shared" si="235"/>
        <v>0</v>
      </c>
      <c r="E866" s="54">
        <f t="shared" si="235"/>
        <v>0</v>
      </c>
      <c r="F866" s="54">
        <f t="shared" si="235"/>
        <v>-407862467</v>
      </c>
      <c r="G866" s="54">
        <f t="shared" si="235"/>
        <v>0</v>
      </c>
      <c r="H866" s="55">
        <f t="shared" si="235"/>
        <v>-407862467</v>
      </c>
      <c r="I866" s="37"/>
    </row>
    <row r="867" spans="1:9" ht="12">
      <c r="A867" s="82">
        <v>70200</v>
      </c>
      <c r="B867" s="153" t="s">
        <v>583</v>
      </c>
      <c r="C867" s="54">
        <f aca="true" t="shared" si="236" ref="C867:H867">SUM(C868)</f>
        <v>-407862467</v>
      </c>
      <c r="D867" s="118">
        <f t="shared" si="236"/>
        <v>0</v>
      </c>
      <c r="E867" s="118">
        <f t="shared" si="236"/>
        <v>0</v>
      </c>
      <c r="F867" s="118">
        <f t="shared" si="236"/>
        <v>-407862467</v>
      </c>
      <c r="G867" s="118">
        <f t="shared" si="236"/>
        <v>0</v>
      </c>
      <c r="H867" s="119">
        <f t="shared" si="236"/>
        <v>-407862467</v>
      </c>
      <c r="I867" s="37"/>
    </row>
    <row r="868" spans="1:9" ht="24">
      <c r="A868" s="82">
        <v>70202</v>
      </c>
      <c r="B868" s="154" t="s">
        <v>584</v>
      </c>
      <c r="C868" s="56">
        <v>-407862467</v>
      </c>
      <c r="D868" s="121">
        <v>0</v>
      </c>
      <c r="E868" s="121">
        <v>0</v>
      </c>
      <c r="F868" s="27">
        <f>C868-D868+E868</f>
        <v>-407862467</v>
      </c>
      <c r="G868" s="121">
        <v>0</v>
      </c>
      <c r="H868" s="120">
        <f>+F868</f>
        <v>-407862467</v>
      </c>
      <c r="I868" s="37"/>
    </row>
    <row r="869" spans="1:9" ht="24">
      <c r="A869" s="82">
        <v>80000</v>
      </c>
      <c r="B869" s="153" t="s">
        <v>585</v>
      </c>
      <c r="C869" s="54">
        <f aca="true" t="shared" si="237" ref="C869:H869">C870</f>
        <v>257183443</v>
      </c>
      <c r="D869" s="54">
        <f t="shared" si="237"/>
        <v>0</v>
      </c>
      <c r="E869" s="54">
        <f t="shared" si="237"/>
        <v>0</v>
      </c>
      <c r="F869" s="54">
        <f t="shared" si="237"/>
        <v>257183443</v>
      </c>
      <c r="G869" s="54">
        <f t="shared" si="237"/>
        <v>0</v>
      </c>
      <c r="H869" s="55">
        <f t="shared" si="237"/>
        <v>257183443</v>
      </c>
      <c r="I869" s="37"/>
    </row>
    <row r="870" spans="1:9" ht="12">
      <c r="A870" s="82">
        <v>80200</v>
      </c>
      <c r="B870" s="153" t="s">
        <v>583</v>
      </c>
      <c r="C870" s="54">
        <f aca="true" t="shared" si="238" ref="C870:H870">SUM(C871)</f>
        <v>257183443</v>
      </c>
      <c r="D870" s="118">
        <f t="shared" si="238"/>
        <v>0</v>
      </c>
      <c r="E870" s="118">
        <f t="shared" si="238"/>
        <v>0</v>
      </c>
      <c r="F870" s="118">
        <f t="shared" si="238"/>
        <v>257183443</v>
      </c>
      <c r="G870" s="118">
        <f t="shared" si="238"/>
        <v>0</v>
      </c>
      <c r="H870" s="119">
        <f t="shared" si="238"/>
        <v>257183443</v>
      </c>
      <c r="I870" s="37"/>
    </row>
    <row r="871" spans="1:9" ht="24">
      <c r="A871" s="82">
        <v>80202</v>
      </c>
      <c r="B871" s="154" t="s">
        <v>584</v>
      </c>
      <c r="C871" s="56">
        <v>257183443</v>
      </c>
      <c r="D871" s="121">
        <v>0</v>
      </c>
      <c r="E871" s="121">
        <v>0</v>
      </c>
      <c r="F871" s="27">
        <f t="shared" si="227"/>
        <v>257183443</v>
      </c>
      <c r="G871" s="121">
        <v>0</v>
      </c>
      <c r="H871" s="120">
        <f>+F871</f>
        <v>257183443</v>
      </c>
      <c r="I871" s="37"/>
    </row>
    <row r="872" spans="1:9" ht="24">
      <c r="A872" s="82">
        <v>90000</v>
      </c>
      <c r="B872" s="153" t="s">
        <v>582</v>
      </c>
      <c r="C872" s="54">
        <f aca="true" t="shared" si="239" ref="C872:H872">C873</f>
        <v>150679024</v>
      </c>
      <c r="D872" s="54">
        <f t="shared" si="239"/>
        <v>0</v>
      </c>
      <c r="E872" s="54">
        <f t="shared" si="239"/>
        <v>0</v>
      </c>
      <c r="F872" s="54">
        <f t="shared" si="239"/>
        <v>150679024</v>
      </c>
      <c r="G872" s="54">
        <f t="shared" si="239"/>
        <v>0</v>
      </c>
      <c r="H872" s="55">
        <f t="shared" si="239"/>
        <v>150679024</v>
      </c>
      <c r="I872" s="37"/>
    </row>
    <row r="873" spans="1:9" ht="12">
      <c r="A873" s="82">
        <v>90200</v>
      </c>
      <c r="B873" s="153" t="s">
        <v>583</v>
      </c>
      <c r="C873" s="54">
        <f aca="true" t="shared" si="240" ref="C873:H873">SUM(C874)</f>
        <v>150679024</v>
      </c>
      <c r="D873" s="118">
        <f t="shared" si="240"/>
        <v>0</v>
      </c>
      <c r="E873" s="118">
        <f t="shared" si="240"/>
        <v>0</v>
      </c>
      <c r="F873" s="118">
        <f t="shared" si="240"/>
        <v>150679024</v>
      </c>
      <c r="G873" s="118">
        <f t="shared" si="240"/>
        <v>0</v>
      </c>
      <c r="H873" s="119">
        <f t="shared" si="240"/>
        <v>150679024</v>
      </c>
      <c r="I873" s="37"/>
    </row>
    <row r="874" spans="1:9" ht="24.75" thickBot="1">
      <c r="A874" s="85">
        <v>90202</v>
      </c>
      <c r="B874" s="157" t="s">
        <v>584</v>
      </c>
      <c r="C874" s="87">
        <v>150679024</v>
      </c>
      <c r="D874" s="134"/>
      <c r="E874" s="134"/>
      <c r="F874" s="29">
        <f t="shared" si="227"/>
        <v>150679024</v>
      </c>
      <c r="G874" s="134">
        <v>0</v>
      </c>
      <c r="H874" s="135">
        <f>+F874</f>
        <v>150679024</v>
      </c>
      <c r="I874" s="37"/>
    </row>
    <row r="875" spans="1:8" ht="12">
      <c r="A875" s="30"/>
      <c r="B875" s="30"/>
      <c r="C875" s="31"/>
      <c r="D875" s="32">
        <f>SUM(D11:D874)</f>
        <v>63419968948</v>
      </c>
      <c r="E875" s="32">
        <f>SUM(E11:E874)</f>
        <v>63419968948</v>
      </c>
      <c r="F875" s="109"/>
      <c r="G875" s="34"/>
      <c r="H875" s="35"/>
    </row>
    <row r="878" ht="12">
      <c r="D878" s="37"/>
    </row>
    <row r="880" spans="4:5" ht="12">
      <c r="D880" s="112"/>
      <c r="E880" s="112"/>
    </row>
    <row r="881" spans="4:5" ht="12">
      <c r="D881" s="112"/>
      <c r="E881" s="112"/>
    </row>
    <row r="882" spans="4:5" ht="12">
      <c r="D882" s="112"/>
      <c r="E882" s="112"/>
    </row>
    <row r="883" ht="12">
      <c r="D883" s="113"/>
    </row>
  </sheetData>
  <sheetProtection password="8D25" sheet="1" formatCells="0" formatColumns="0" formatRows="0" insertColumns="0" insertRows="0" insertHyperlinks="0" deleteColumns="0" deleteRows="0" sort="0" autoFilter="0" pivotTables="0"/>
  <mergeCells count="6">
    <mergeCell ref="G9:G10"/>
    <mergeCell ref="H9:H10"/>
    <mergeCell ref="C9:C10"/>
    <mergeCell ref="D9:D10"/>
    <mergeCell ref="E9:E10"/>
    <mergeCell ref="F9:F1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F2737"/>
  <sheetViews>
    <sheetView workbookViewId="0" topLeftCell="A1">
      <selection activeCell="C22" sqref="C22"/>
    </sheetView>
  </sheetViews>
  <sheetFormatPr defaultColWidth="11.421875" defaultRowHeight="12.75"/>
  <cols>
    <col min="1" max="1" width="15.8515625" style="6" customWidth="1"/>
    <col min="2" max="2" width="45.140625" style="26" customWidth="1"/>
    <col min="3" max="3" width="15.57421875" style="26" customWidth="1"/>
    <col min="4" max="4" width="35.8515625" style="26" customWidth="1"/>
    <col min="5" max="5" width="10.8515625" style="6" customWidth="1"/>
    <col min="6" max="6" width="13.7109375" style="6" customWidth="1"/>
    <col min="7" max="16384" width="11.421875" style="6" customWidth="1"/>
  </cols>
  <sheetData>
    <row r="1" spans="1:6" ht="12">
      <c r="A1" s="95" t="s">
        <v>2756</v>
      </c>
      <c r="B1" s="26" t="s">
        <v>587</v>
      </c>
      <c r="E1" s="160"/>
      <c r="F1" s="207" t="s">
        <v>588</v>
      </c>
    </row>
    <row r="2" spans="1:6" ht="12">
      <c r="A2" s="95" t="s">
        <v>2759</v>
      </c>
      <c r="B2" s="26" t="s">
        <v>589</v>
      </c>
      <c r="F2" s="207" t="s">
        <v>2755</v>
      </c>
    </row>
    <row r="3" spans="1:2" ht="12">
      <c r="A3" s="95" t="s">
        <v>2761</v>
      </c>
      <c r="B3" s="26" t="s">
        <v>590</v>
      </c>
    </row>
    <row r="4" spans="1:2" ht="12">
      <c r="A4" s="95" t="s">
        <v>2763</v>
      </c>
      <c r="B4" s="26">
        <v>11300000</v>
      </c>
    </row>
    <row r="5" spans="1:2" ht="12">
      <c r="A5" s="95" t="s">
        <v>2765</v>
      </c>
      <c r="B5" s="161">
        <v>38898</v>
      </c>
    </row>
    <row r="7" spans="4:6" ht="12.75" thickBot="1">
      <c r="D7" s="162" t="s">
        <v>2768</v>
      </c>
      <c r="E7" s="163"/>
      <c r="F7" s="163"/>
    </row>
    <row r="8" spans="1:6" ht="12">
      <c r="A8" s="158" t="s">
        <v>2769</v>
      </c>
      <c r="B8" s="159"/>
      <c r="C8" s="218" t="s">
        <v>591</v>
      </c>
      <c r="D8" s="218" t="s">
        <v>592</v>
      </c>
      <c r="E8" s="218" t="s">
        <v>593</v>
      </c>
      <c r="F8" s="220" t="s">
        <v>594</v>
      </c>
    </row>
    <row r="9" spans="1:6" ht="36.75" thickBot="1">
      <c r="A9" s="172" t="s">
        <v>595</v>
      </c>
      <c r="B9" s="173" t="s">
        <v>596</v>
      </c>
      <c r="C9" s="219"/>
      <c r="D9" s="219"/>
      <c r="E9" s="219"/>
      <c r="F9" s="221"/>
    </row>
    <row r="10" spans="1:6" ht="12">
      <c r="A10" s="183">
        <v>120101</v>
      </c>
      <c r="B10" s="184" t="s">
        <v>597</v>
      </c>
      <c r="C10" s="185">
        <v>11500000</v>
      </c>
      <c r="D10" s="186" t="s">
        <v>598</v>
      </c>
      <c r="E10" s="187">
        <v>27464375</v>
      </c>
      <c r="F10" s="188">
        <v>0</v>
      </c>
    </row>
    <row r="11" spans="1:6" ht="24">
      <c r="A11" s="189">
        <v>140414</v>
      </c>
      <c r="B11" s="147" t="s">
        <v>599</v>
      </c>
      <c r="C11" s="175">
        <v>10500000</v>
      </c>
      <c r="D11" s="147" t="s">
        <v>600</v>
      </c>
      <c r="E11" s="121">
        <v>8273</v>
      </c>
      <c r="F11" s="120">
        <v>0</v>
      </c>
    </row>
    <row r="12" spans="1:6" ht="24">
      <c r="A12" s="189">
        <v>140414</v>
      </c>
      <c r="B12" s="147" t="s">
        <v>599</v>
      </c>
      <c r="C12" s="175">
        <v>10600000</v>
      </c>
      <c r="D12" s="147" t="s">
        <v>601</v>
      </c>
      <c r="E12" s="121">
        <v>5</v>
      </c>
      <c r="F12" s="120">
        <v>0</v>
      </c>
    </row>
    <row r="13" spans="1:6" ht="12">
      <c r="A13" s="189">
        <v>140414</v>
      </c>
      <c r="B13" s="147" t="s">
        <v>599</v>
      </c>
      <c r="C13" s="175">
        <v>10900000</v>
      </c>
      <c r="D13" s="147" t="s">
        <v>602</v>
      </c>
      <c r="E13" s="121">
        <v>4917</v>
      </c>
      <c r="F13" s="120">
        <v>0</v>
      </c>
    </row>
    <row r="14" spans="1:6" ht="24">
      <c r="A14" s="189">
        <v>140414</v>
      </c>
      <c r="B14" s="147" t="s">
        <v>599</v>
      </c>
      <c r="C14" s="175">
        <v>11100000</v>
      </c>
      <c r="D14" s="147" t="s">
        <v>603</v>
      </c>
      <c r="E14" s="121">
        <v>187726</v>
      </c>
      <c r="F14" s="120">
        <v>0</v>
      </c>
    </row>
    <row r="15" spans="1:6" ht="24">
      <c r="A15" s="189">
        <v>140414</v>
      </c>
      <c r="B15" s="147" t="s">
        <v>599</v>
      </c>
      <c r="C15" s="175">
        <v>12200000</v>
      </c>
      <c r="D15" s="147" t="s">
        <v>604</v>
      </c>
      <c r="E15" s="121">
        <v>1294</v>
      </c>
      <c r="F15" s="120">
        <v>0</v>
      </c>
    </row>
    <row r="16" spans="1:6" ht="24">
      <c r="A16" s="189">
        <v>140414</v>
      </c>
      <c r="B16" s="147" t="s">
        <v>599</v>
      </c>
      <c r="C16" s="175">
        <v>12300000</v>
      </c>
      <c r="D16" s="147" t="s">
        <v>605</v>
      </c>
      <c r="E16" s="121">
        <v>17917</v>
      </c>
      <c r="F16" s="120">
        <v>0</v>
      </c>
    </row>
    <row r="17" spans="1:6" ht="12">
      <c r="A17" s="189">
        <v>140414</v>
      </c>
      <c r="B17" s="147" t="s">
        <v>599</v>
      </c>
      <c r="C17" s="175">
        <v>12700000</v>
      </c>
      <c r="D17" s="147" t="s">
        <v>606</v>
      </c>
      <c r="E17" s="121">
        <v>1133</v>
      </c>
      <c r="F17" s="120">
        <v>0</v>
      </c>
    </row>
    <row r="18" spans="1:6" ht="12">
      <c r="A18" s="189">
        <v>140414</v>
      </c>
      <c r="B18" s="147" t="s">
        <v>599</v>
      </c>
      <c r="C18" s="175">
        <v>13400000</v>
      </c>
      <c r="D18" s="147" t="s">
        <v>607</v>
      </c>
      <c r="E18" s="121">
        <v>5282</v>
      </c>
      <c r="F18" s="120">
        <v>0</v>
      </c>
    </row>
    <row r="19" spans="1:6" ht="12">
      <c r="A19" s="189">
        <v>140414</v>
      </c>
      <c r="B19" s="147" t="s">
        <v>599</v>
      </c>
      <c r="C19" s="175">
        <v>14000000</v>
      </c>
      <c r="D19" s="147" t="s">
        <v>608</v>
      </c>
      <c r="E19" s="121">
        <v>36380</v>
      </c>
      <c r="F19" s="120">
        <v>0</v>
      </c>
    </row>
    <row r="20" spans="1:6" ht="24">
      <c r="A20" s="189">
        <v>140414</v>
      </c>
      <c r="B20" s="147" t="s">
        <v>599</v>
      </c>
      <c r="C20" s="175">
        <v>80200000</v>
      </c>
      <c r="D20" s="147" t="s">
        <v>609</v>
      </c>
      <c r="E20" s="121">
        <v>167</v>
      </c>
      <c r="F20" s="120">
        <v>0</v>
      </c>
    </row>
    <row r="21" spans="1:6" ht="24">
      <c r="A21" s="189">
        <v>140414</v>
      </c>
      <c r="B21" s="147" t="s">
        <v>599</v>
      </c>
      <c r="C21" s="175">
        <v>80200000</v>
      </c>
      <c r="D21" s="147" t="s">
        <v>610</v>
      </c>
      <c r="E21" s="121">
        <v>144</v>
      </c>
      <c r="F21" s="120">
        <v>0</v>
      </c>
    </row>
    <row r="22" spans="1:6" ht="24">
      <c r="A22" s="189">
        <v>140414</v>
      </c>
      <c r="B22" s="147" t="s">
        <v>599</v>
      </c>
      <c r="C22" s="175">
        <v>80200000</v>
      </c>
      <c r="D22" s="147" t="s">
        <v>611</v>
      </c>
      <c r="E22" s="121">
        <v>178</v>
      </c>
      <c r="F22" s="120">
        <v>0</v>
      </c>
    </row>
    <row r="23" spans="1:6" ht="24">
      <c r="A23" s="189">
        <v>140414</v>
      </c>
      <c r="B23" s="147" t="s">
        <v>599</v>
      </c>
      <c r="C23" s="175">
        <v>80200000</v>
      </c>
      <c r="D23" s="147" t="s">
        <v>612</v>
      </c>
      <c r="E23" s="121">
        <v>235</v>
      </c>
      <c r="F23" s="120">
        <v>0</v>
      </c>
    </row>
    <row r="24" spans="1:6" ht="24">
      <c r="A24" s="189">
        <v>140414</v>
      </c>
      <c r="B24" s="147" t="s">
        <v>599</v>
      </c>
      <c r="C24" s="175">
        <v>80200000</v>
      </c>
      <c r="D24" s="147" t="s">
        <v>613</v>
      </c>
      <c r="E24" s="121">
        <v>247</v>
      </c>
      <c r="F24" s="120">
        <v>0</v>
      </c>
    </row>
    <row r="25" spans="1:6" ht="24">
      <c r="A25" s="189">
        <v>140414</v>
      </c>
      <c r="B25" s="147" t="s">
        <v>599</v>
      </c>
      <c r="C25" s="147">
        <v>88800000</v>
      </c>
      <c r="D25" s="147" t="s">
        <v>614</v>
      </c>
      <c r="E25" s="121">
        <v>64</v>
      </c>
      <c r="F25" s="120">
        <v>0</v>
      </c>
    </row>
    <row r="26" spans="1:6" ht="12">
      <c r="A26" s="189">
        <v>140414</v>
      </c>
      <c r="B26" s="147" t="s">
        <v>599</v>
      </c>
      <c r="C26" s="175">
        <v>96300000</v>
      </c>
      <c r="D26" s="147" t="s">
        <v>615</v>
      </c>
      <c r="E26" s="121">
        <v>25346</v>
      </c>
      <c r="F26" s="120">
        <v>0</v>
      </c>
    </row>
    <row r="27" spans="1:6" ht="12">
      <c r="A27" s="189">
        <v>140414</v>
      </c>
      <c r="B27" s="147" t="s">
        <v>599</v>
      </c>
      <c r="C27" s="147">
        <v>96500000</v>
      </c>
      <c r="D27" s="147" t="s">
        <v>616</v>
      </c>
      <c r="E27" s="121">
        <v>339</v>
      </c>
      <c r="F27" s="120">
        <v>0</v>
      </c>
    </row>
    <row r="28" spans="1:6" ht="12">
      <c r="A28" s="189">
        <v>140414</v>
      </c>
      <c r="B28" s="147" t="s">
        <v>599</v>
      </c>
      <c r="C28" s="147">
        <v>96500000</v>
      </c>
      <c r="D28" s="147" t="s">
        <v>616</v>
      </c>
      <c r="E28" s="121">
        <v>395</v>
      </c>
      <c r="F28" s="120">
        <v>0</v>
      </c>
    </row>
    <row r="29" spans="1:6" ht="24">
      <c r="A29" s="189">
        <v>140414</v>
      </c>
      <c r="B29" s="147" t="s">
        <v>599</v>
      </c>
      <c r="C29" s="169">
        <v>110505000</v>
      </c>
      <c r="D29" s="147" t="s">
        <v>617</v>
      </c>
      <c r="E29" s="121">
        <v>679</v>
      </c>
      <c r="F29" s="120">
        <v>0</v>
      </c>
    </row>
    <row r="30" spans="1:6" ht="12">
      <c r="A30" s="189">
        <v>140414</v>
      </c>
      <c r="B30" s="147" t="s">
        <v>599</v>
      </c>
      <c r="C30" s="175">
        <v>111717000</v>
      </c>
      <c r="D30" s="147" t="s">
        <v>618</v>
      </c>
      <c r="E30" s="121">
        <v>180</v>
      </c>
      <c r="F30" s="120">
        <v>0</v>
      </c>
    </row>
    <row r="31" spans="1:6" ht="12">
      <c r="A31" s="189">
        <v>140414</v>
      </c>
      <c r="B31" s="147" t="s">
        <v>599</v>
      </c>
      <c r="C31" s="175">
        <v>111919000</v>
      </c>
      <c r="D31" s="147" t="s">
        <v>619</v>
      </c>
      <c r="E31" s="121">
        <v>1847</v>
      </c>
      <c r="F31" s="120">
        <v>0</v>
      </c>
    </row>
    <row r="32" spans="1:6" ht="24">
      <c r="A32" s="189">
        <v>140414</v>
      </c>
      <c r="B32" s="147" t="s">
        <v>599</v>
      </c>
      <c r="C32" s="175">
        <v>114141000</v>
      </c>
      <c r="D32" s="147" t="s">
        <v>620</v>
      </c>
      <c r="E32" s="121">
        <v>955</v>
      </c>
      <c r="F32" s="120">
        <v>0</v>
      </c>
    </row>
    <row r="33" spans="1:6" ht="12">
      <c r="A33" s="189">
        <v>140414</v>
      </c>
      <c r="B33" s="147" t="s">
        <v>599</v>
      </c>
      <c r="C33" s="175">
        <v>115050000</v>
      </c>
      <c r="D33" s="147" t="s">
        <v>621</v>
      </c>
      <c r="E33" s="121">
        <v>54031</v>
      </c>
      <c r="F33" s="120">
        <v>0</v>
      </c>
    </row>
    <row r="34" spans="1:6" ht="12">
      <c r="A34" s="189">
        <v>140414</v>
      </c>
      <c r="B34" s="147" t="s">
        <v>599</v>
      </c>
      <c r="C34" s="175">
        <v>115252000</v>
      </c>
      <c r="D34" s="147" t="s">
        <v>622</v>
      </c>
      <c r="E34" s="121">
        <v>355000</v>
      </c>
      <c r="F34" s="120">
        <v>0</v>
      </c>
    </row>
    <row r="35" spans="1:6" ht="24">
      <c r="A35" s="189">
        <v>140414</v>
      </c>
      <c r="B35" s="147" t="s">
        <v>599</v>
      </c>
      <c r="C35" s="175">
        <v>115454000</v>
      </c>
      <c r="D35" s="147" t="s">
        <v>623</v>
      </c>
      <c r="E35" s="121">
        <v>1434</v>
      </c>
      <c r="F35" s="120">
        <v>0</v>
      </c>
    </row>
    <row r="36" spans="1:6" ht="24">
      <c r="A36" s="189">
        <v>140414</v>
      </c>
      <c r="B36" s="147" t="s">
        <v>599</v>
      </c>
      <c r="C36" s="175">
        <v>116666000</v>
      </c>
      <c r="D36" s="147" t="s">
        <v>624</v>
      </c>
      <c r="E36" s="121">
        <v>441</v>
      </c>
      <c r="F36" s="120">
        <v>0</v>
      </c>
    </row>
    <row r="37" spans="1:6" ht="24">
      <c r="A37" s="189">
        <v>140414</v>
      </c>
      <c r="B37" s="147" t="s">
        <v>599</v>
      </c>
      <c r="C37" s="175">
        <v>116868000</v>
      </c>
      <c r="D37" s="147" t="s">
        <v>625</v>
      </c>
      <c r="E37" s="121">
        <v>1850</v>
      </c>
      <c r="F37" s="120">
        <v>0</v>
      </c>
    </row>
    <row r="38" spans="1:6" ht="24">
      <c r="A38" s="189">
        <v>140414</v>
      </c>
      <c r="B38" s="147" t="s">
        <v>599</v>
      </c>
      <c r="C38" s="175">
        <v>118686000</v>
      </c>
      <c r="D38" s="147" t="s">
        <v>626</v>
      </c>
      <c r="E38" s="121">
        <v>49</v>
      </c>
      <c r="F38" s="120">
        <v>0</v>
      </c>
    </row>
    <row r="39" spans="1:6" ht="12">
      <c r="A39" s="189">
        <v>140414</v>
      </c>
      <c r="B39" s="147" t="s">
        <v>599</v>
      </c>
      <c r="C39" s="175">
        <v>119494000</v>
      </c>
      <c r="D39" s="147" t="s">
        <v>627</v>
      </c>
      <c r="E39" s="121">
        <v>54</v>
      </c>
      <c r="F39" s="120">
        <v>0</v>
      </c>
    </row>
    <row r="40" spans="1:6" ht="12">
      <c r="A40" s="189">
        <v>140414</v>
      </c>
      <c r="B40" s="147" t="s">
        <v>599</v>
      </c>
      <c r="C40" s="175">
        <v>119797000</v>
      </c>
      <c r="D40" s="147" t="s">
        <v>628</v>
      </c>
      <c r="E40" s="121">
        <v>13087</v>
      </c>
      <c r="F40" s="120">
        <v>0</v>
      </c>
    </row>
    <row r="41" spans="1:6" ht="12">
      <c r="A41" s="189">
        <v>140414</v>
      </c>
      <c r="B41" s="147" t="s">
        <v>599</v>
      </c>
      <c r="C41" s="175">
        <v>210013600</v>
      </c>
      <c r="D41" s="147" t="s">
        <v>629</v>
      </c>
      <c r="E41" s="121">
        <v>229</v>
      </c>
      <c r="F41" s="120">
        <v>0</v>
      </c>
    </row>
    <row r="42" spans="1:6" ht="12">
      <c r="A42" s="189">
        <v>140414</v>
      </c>
      <c r="B42" s="147" t="s">
        <v>599</v>
      </c>
      <c r="C42" s="147">
        <v>210015600</v>
      </c>
      <c r="D42" s="147" t="s">
        <v>630</v>
      </c>
      <c r="E42" s="121">
        <v>25</v>
      </c>
      <c r="F42" s="120">
        <v>0</v>
      </c>
    </row>
    <row r="43" spans="1:6" ht="12">
      <c r="A43" s="189">
        <v>140414</v>
      </c>
      <c r="B43" s="147" t="s">
        <v>599</v>
      </c>
      <c r="C43" s="175">
        <v>210025200</v>
      </c>
      <c r="D43" s="147" t="s">
        <v>631</v>
      </c>
      <c r="E43" s="121">
        <v>530</v>
      </c>
      <c r="F43" s="120">
        <v>0</v>
      </c>
    </row>
    <row r="44" spans="1:6" ht="12">
      <c r="A44" s="189">
        <v>140414</v>
      </c>
      <c r="B44" s="147" t="s">
        <v>599</v>
      </c>
      <c r="C44" s="175">
        <v>210108001</v>
      </c>
      <c r="D44" s="147" t="s">
        <v>632</v>
      </c>
      <c r="E44" s="121">
        <v>576</v>
      </c>
      <c r="F44" s="120">
        <v>0</v>
      </c>
    </row>
    <row r="45" spans="1:6" ht="12">
      <c r="A45" s="189">
        <v>140414</v>
      </c>
      <c r="B45" s="147" t="s">
        <v>599</v>
      </c>
      <c r="C45" s="147">
        <v>210111001</v>
      </c>
      <c r="D45" s="147" t="s">
        <v>633</v>
      </c>
      <c r="E45" s="121">
        <v>22021</v>
      </c>
      <c r="F45" s="120">
        <v>0</v>
      </c>
    </row>
    <row r="46" spans="1:6" ht="12">
      <c r="A46" s="189">
        <v>140414</v>
      </c>
      <c r="B46" s="147" t="s">
        <v>599</v>
      </c>
      <c r="C46" s="175">
        <v>210115001</v>
      </c>
      <c r="D46" s="147" t="s">
        <v>634</v>
      </c>
      <c r="E46" s="121">
        <v>186</v>
      </c>
      <c r="F46" s="120">
        <v>0</v>
      </c>
    </row>
    <row r="47" spans="1:6" ht="24">
      <c r="A47" s="189">
        <v>140414</v>
      </c>
      <c r="B47" s="147" t="s">
        <v>599</v>
      </c>
      <c r="C47" s="175">
        <v>210115401</v>
      </c>
      <c r="D47" s="147" t="s">
        <v>635</v>
      </c>
      <c r="E47" s="121">
        <v>91</v>
      </c>
      <c r="F47" s="120">
        <v>0</v>
      </c>
    </row>
    <row r="48" spans="1:6" ht="12">
      <c r="A48" s="189">
        <v>140414</v>
      </c>
      <c r="B48" s="147" t="s">
        <v>599</v>
      </c>
      <c r="C48" s="175">
        <v>210118001</v>
      </c>
      <c r="D48" s="147" t="s">
        <v>636</v>
      </c>
      <c r="E48" s="121">
        <v>56</v>
      </c>
      <c r="F48" s="120">
        <v>0</v>
      </c>
    </row>
    <row r="49" spans="1:6" ht="12">
      <c r="A49" s="189">
        <v>140414</v>
      </c>
      <c r="B49" s="147" t="s">
        <v>599</v>
      </c>
      <c r="C49" s="175">
        <v>210119001</v>
      </c>
      <c r="D49" s="147" t="s">
        <v>637</v>
      </c>
      <c r="E49" s="121">
        <v>135</v>
      </c>
      <c r="F49" s="120">
        <v>0</v>
      </c>
    </row>
    <row r="50" spans="1:6" ht="12">
      <c r="A50" s="189">
        <v>140414</v>
      </c>
      <c r="B50" s="147" t="s">
        <v>599</v>
      </c>
      <c r="C50" s="175">
        <v>210123001</v>
      </c>
      <c r="D50" s="147" t="s">
        <v>638</v>
      </c>
      <c r="E50" s="121">
        <v>245</v>
      </c>
      <c r="F50" s="120">
        <v>0</v>
      </c>
    </row>
    <row r="51" spans="1:6" ht="12">
      <c r="A51" s="189">
        <v>140414</v>
      </c>
      <c r="B51" s="147" t="s">
        <v>599</v>
      </c>
      <c r="C51" s="175">
        <v>210125001</v>
      </c>
      <c r="D51" s="147" t="s">
        <v>639</v>
      </c>
      <c r="E51" s="121">
        <v>242</v>
      </c>
      <c r="F51" s="120">
        <v>0</v>
      </c>
    </row>
    <row r="52" spans="1:6" ht="12">
      <c r="A52" s="189">
        <v>140414</v>
      </c>
      <c r="B52" s="147" t="s">
        <v>599</v>
      </c>
      <c r="C52" s="175">
        <v>210127001</v>
      </c>
      <c r="D52" s="147" t="s">
        <v>640</v>
      </c>
      <c r="E52" s="121">
        <v>19</v>
      </c>
      <c r="F52" s="120">
        <v>0</v>
      </c>
    </row>
    <row r="53" spans="1:6" ht="12">
      <c r="A53" s="189">
        <v>140414</v>
      </c>
      <c r="B53" s="147" t="s">
        <v>599</v>
      </c>
      <c r="C53" s="175">
        <v>210141001</v>
      </c>
      <c r="D53" s="147" t="s">
        <v>641</v>
      </c>
      <c r="E53" s="121">
        <v>593</v>
      </c>
      <c r="F53" s="120">
        <v>0</v>
      </c>
    </row>
    <row r="54" spans="1:6" ht="12">
      <c r="A54" s="189">
        <v>140414</v>
      </c>
      <c r="B54" s="147" t="s">
        <v>599</v>
      </c>
      <c r="C54" s="175">
        <v>210141801</v>
      </c>
      <c r="D54" s="147" t="s">
        <v>642</v>
      </c>
      <c r="E54" s="121">
        <v>101</v>
      </c>
      <c r="F54" s="120">
        <v>0</v>
      </c>
    </row>
    <row r="55" spans="1:6" ht="24">
      <c r="A55" s="189">
        <v>140414</v>
      </c>
      <c r="B55" s="147" t="s">
        <v>599</v>
      </c>
      <c r="C55" s="175">
        <v>210147001</v>
      </c>
      <c r="D55" s="147" t="s">
        <v>643</v>
      </c>
      <c r="E55" s="121">
        <v>42386</v>
      </c>
      <c r="F55" s="120">
        <v>0</v>
      </c>
    </row>
    <row r="56" spans="1:6" ht="24">
      <c r="A56" s="189">
        <v>140414</v>
      </c>
      <c r="B56" s="147" t="s">
        <v>599</v>
      </c>
      <c r="C56" s="175">
        <v>210150001</v>
      </c>
      <c r="D56" s="147" t="s">
        <v>644</v>
      </c>
      <c r="E56" s="121">
        <v>846</v>
      </c>
      <c r="F56" s="120">
        <v>0</v>
      </c>
    </row>
    <row r="57" spans="1:6" ht="24">
      <c r="A57" s="189">
        <v>140414</v>
      </c>
      <c r="B57" s="147" t="s">
        <v>599</v>
      </c>
      <c r="C57" s="175">
        <v>210163001</v>
      </c>
      <c r="D57" s="147" t="s">
        <v>645</v>
      </c>
      <c r="E57" s="121">
        <v>102</v>
      </c>
      <c r="F57" s="120">
        <v>0</v>
      </c>
    </row>
    <row r="58" spans="1:6" ht="12">
      <c r="A58" s="189">
        <v>140414</v>
      </c>
      <c r="B58" s="147" t="s">
        <v>599</v>
      </c>
      <c r="C58" s="175">
        <v>210166001</v>
      </c>
      <c r="D58" s="147" t="s">
        <v>646</v>
      </c>
      <c r="E58" s="121">
        <v>854</v>
      </c>
      <c r="F58" s="120">
        <v>0</v>
      </c>
    </row>
    <row r="59" spans="1:6" ht="24">
      <c r="A59" s="189">
        <v>140414</v>
      </c>
      <c r="B59" s="147" t="s">
        <v>599</v>
      </c>
      <c r="C59" s="147">
        <v>210168101</v>
      </c>
      <c r="D59" s="147" t="s">
        <v>647</v>
      </c>
      <c r="E59" s="121">
        <v>27</v>
      </c>
      <c r="F59" s="120">
        <v>0</v>
      </c>
    </row>
    <row r="60" spans="1:6" ht="12">
      <c r="A60" s="189">
        <v>140414</v>
      </c>
      <c r="B60" s="147" t="s">
        <v>599</v>
      </c>
      <c r="C60" s="175">
        <v>210170001</v>
      </c>
      <c r="D60" s="147" t="s">
        <v>648</v>
      </c>
      <c r="E60" s="121">
        <v>2119</v>
      </c>
      <c r="F60" s="120">
        <v>0</v>
      </c>
    </row>
    <row r="61" spans="1:6" ht="12">
      <c r="A61" s="189">
        <v>140414</v>
      </c>
      <c r="B61" s="147" t="s">
        <v>599</v>
      </c>
      <c r="C61" s="175">
        <v>210185001</v>
      </c>
      <c r="D61" s="147" t="s">
        <v>649</v>
      </c>
      <c r="E61" s="121">
        <v>27</v>
      </c>
      <c r="F61" s="120">
        <v>0</v>
      </c>
    </row>
    <row r="62" spans="1:6" ht="12">
      <c r="A62" s="189">
        <v>140414</v>
      </c>
      <c r="B62" s="147" t="s">
        <v>599</v>
      </c>
      <c r="C62" s="169" t="s">
        <v>650</v>
      </c>
      <c r="D62" s="147" t="s">
        <v>651</v>
      </c>
      <c r="E62" s="121">
        <v>262</v>
      </c>
      <c r="F62" s="120">
        <v>0</v>
      </c>
    </row>
    <row r="63" spans="1:6" ht="24">
      <c r="A63" s="189">
        <v>140414</v>
      </c>
      <c r="B63" s="147" t="s">
        <v>599</v>
      </c>
      <c r="C63" s="175">
        <v>210225402</v>
      </c>
      <c r="D63" s="147" t="s">
        <v>652</v>
      </c>
      <c r="E63" s="121">
        <v>383</v>
      </c>
      <c r="F63" s="120">
        <v>0</v>
      </c>
    </row>
    <row r="64" spans="1:6" ht="12">
      <c r="A64" s="189">
        <v>140414</v>
      </c>
      <c r="B64" s="147" t="s">
        <v>599</v>
      </c>
      <c r="C64" s="175">
        <v>210315403</v>
      </c>
      <c r="D64" s="147" t="s">
        <v>653</v>
      </c>
      <c r="E64" s="121">
        <v>115</v>
      </c>
      <c r="F64" s="120">
        <v>0</v>
      </c>
    </row>
    <row r="65" spans="1:6" ht="12">
      <c r="A65" s="189">
        <v>140414</v>
      </c>
      <c r="B65" s="147" t="s">
        <v>599</v>
      </c>
      <c r="C65" s="175">
        <v>210341503</v>
      </c>
      <c r="D65" s="147" t="s">
        <v>654</v>
      </c>
      <c r="E65" s="121">
        <v>75</v>
      </c>
      <c r="F65" s="120">
        <v>0</v>
      </c>
    </row>
    <row r="66" spans="1:6" ht="12">
      <c r="A66" s="189">
        <v>140414</v>
      </c>
      <c r="B66" s="147" t="s">
        <v>599</v>
      </c>
      <c r="C66" s="175">
        <v>210518205</v>
      </c>
      <c r="D66" s="147" t="s">
        <v>655</v>
      </c>
      <c r="E66" s="121">
        <v>25</v>
      </c>
      <c r="F66" s="120">
        <v>0</v>
      </c>
    </row>
    <row r="67" spans="1:6" ht="12">
      <c r="A67" s="189">
        <v>140414</v>
      </c>
      <c r="B67" s="147" t="s">
        <v>599</v>
      </c>
      <c r="C67" s="175">
        <v>210525805</v>
      </c>
      <c r="D67" s="147" t="s">
        <v>656</v>
      </c>
      <c r="E67" s="121">
        <v>173</v>
      </c>
      <c r="F67" s="120">
        <v>0</v>
      </c>
    </row>
    <row r="68" spans="1:6" ht="12">
      <c r="A68" s="189">
        <v>140414</v>
      </c>
      <c r="B68" s="147" t="s">
        <v>599</v>
      </c>
      <c r="C68" s="175">
        <v>210527205</v>
      </c>
      <c r="D68" s="147" t="s">
        <v>657</v>
      </c>
      <c r="E68" s="121">
        <v>155</v>
      </c>
      <c r="F68" s="120">
        <v>0</v>
      </c>
    </row>
    <row r="69" spans="1:6" ht="12">
      <c r="A69" s="189">
        <v>140414</v>
      </c>
      <c r="B69" s="147" t="s">
        <v>599</v>
      </c>
      <c r="C69" s="175">
        <v>210608606</v>
      </c>
      <c r="D69" s="147" t="s">
        <v>658</v>
      </c>
      <c r="E69" s="121">
        <v>220</v>
      </c>
      <c r="F69" s="120">
        <v>0</v>
      </c>
    </row>
    <row r="70" spans="1:6" ht="12">
      <c r="A70" s="189">
        <v>140414</v>
      </c>
      <c r="B70" s="147" t="s">
        <v>599</v>
      </c>
      <c r="C70" s="175">
        <v>210613006</v>
      </c>
      <c r="D70" s="147" t="s">
        <v>659</v>
      </c>
      <c r="E70" s="121">
        <v>97</v>
      </c>
      <c r="F70" s="120">
        <v>0</v>
      </c>
    </row>
    <row r="71" spans="1:6" ht="12">
      <c r="A71" s="189">
        <v>140414</v>
      </c>
      <c r="B71" s="147" t="s">
        <v>599</v>
      </c>
      <c r="C71" s="175">
        <v>210641006</v>
      </c>
      <c r="D71" s="147" t="s">
        <v>660</v>
      </c>
      <c r="E71" s="121">
        <v>170</v>
      </c>
      <c r="F71" s="120">
        <v>0</v>
      </c>
    </row>
    <row r="72" spans="1:6" ht="12">
      <c r="A72" s="189">
        <v>140414</v>
      </c>
      <c r="B72" s="147" t="s">
        <v>599</v>
      </c>
      <c r="C72" s="175">
        <v>210641306</v>
      </c>
      <c r="D72" s="147" t="s">
        <v>661</v>
      </c>
      <c r="E72" s="121">
        <v>326</v>
      </c>
      <c r="F72" s="120">
        <v>0</v>
      </c>
    </row>
    <row r="73" spans="1:6" ht="12">
      <c r="A73" s="189">
        <v>140414</v>
      </c>
      <c r="B73" s="147" t="s">
        <v>599</v>
      </c>
      <c r="C73" s="175">
        <v>210650006</v>
      </c>
      <c r="D73" s="147" t="s">
        <v>662</v>
      </c>
      <c r="E73" s="121">
        <v>49</v>
      </c>
      <c r="F73" s="120">
        <v>0</v>
      </c>
    </row>
    <row r="74" spans="1:6" ht="24">
      <c r="A74" s="189">
        <v>140414</v>
      </c>
      <c r="B74" s="147" t="s">
        <v>599</v>
      </c>
      <c r="C74" s="175">
        <v>210650606</v>
      </c>
      <c r="D74" s="147" t="s">
        <v>663</v>
      </c>
      <c r="E74" s="121">
        <v>435</v>
      </c>
      <c r="F74" s="120">
        <v>0</v>
      </c>
    </row>
    <row r="75" spans="1:6" ht="12">
      <c r="A75" s="189">
        <v>140414</v>
      </c>
      <c r="B75" s="147" t="s">
        <v>599</v>
      </c>
      <c r="C75" s="175">
        <v>210676306</v>
      </c>
      <c r="D75" s="147" t="s">
        <v>664</v>
      </c>
      <c r="E75" s="121">
        <v>25</v>
      </c>
      <c r="F75" s="120">
        <v>0</v>
      </c>
    </row>
    <row r="76" spans="1:6" ht="12">
      <c r="A76" s="189">
        <v>140414</v>
      </c>
      <c r="B76" s="147" t="s">
        <v>599</v>
      </c>
      <c r="C76" s="175">
        <v>210715507</v>
      </c>
      <c r="D76" s="147" t="s">
        <v>665</v>
      </c>
      <c r="E76" s="121">
        <v>345</v>
      </c>
      <c r="F76" s="120">
        <v>0</v>
      </c>
    </row>
    <row r="77" spans="1:6" ht="12">
      <c r="A77" s="189">
        <v>140414</v>
      </c>
      <c r="B77" s="147" t="s">
        <v>599</v>
      </c>
      <c r="C77" s="175">
        <v>210719807</v>
      </c>
      <c r="D77" s="147" t="s">
        <v>666</v>
      </c>
      <c r="E77" s="121">
        <v>348</v>
      </c>
      <c r="F77" s="120">
        <v>0</v>
      </c>
    </row>
    <row r="78" spans="1:6" ht="12">
      <c r="A78" s="189">
        <v>140414</v>
      </c>
      <c r="B78" s="147" t="s">
        <v>599</v>
      </c>
      <c r="C78" s="175">
        <v>210723807</v>
      </c>
      <c r="D78" s="147" t="s">
        <v>667</v>
      </c>
      <c r="E78" s="121">
        <v>1862</v>
      </c>
      <c r="F78" s="120">
        <v>0</v>
      </c>
    </row>
    <row r="79" spans="1:6" ht="12">
      <c r="A79" s="189">
        <v>140414</v>
      </c>
      <c r="B79" s="147" t="s">
        <v>599</v>
      </c>
      <c r="C79" s="175">
        <v>210725307</v>
      </c>
      <c r="D79" s="147" t="s">
        <v>668</v>
      </c>
      <c r="E79" s="121">
        <v>25</v>
      </c>
      <c r="F79" s="120">
        <v>0</v>
      </c>
    </row>
    <row r="80" spans="1:6" ht="12">
      <c r="A80" s="189">
        <v>140414</v>
      </c>
      <c r="B80" s="147" t="s">
        <v>599</v>
      </c>
      <c r="C80" s="175">
        <v>210741807</v>
      </c>
      <c r="D80" s="147" t="s">
        <v>669</v>
      </c>
      <c r="E80" s="121">
        <v>264</v>
      </c>
      <c r="F80" s="120">
        <v>0</v>
      </c>
    </row>
    <row r="81" spans="1:6" ht="12">
      <c r="A81" s="189">
        <v>140414</v>
      </c>
      <c r="B81" s="147" t="s">
        <v>599</v>
      </c>
      <c r="C81" s="175">
        <v>210873408</v>
      </c>
      <c r="D81" s="147" t="s">
        <v>670</v>
      </c>
      <c r="E81" s="121">
        <v>210</v>
      </c>
      <c r="F81" s="120">
        <v>0</v>
      </c>
    </row>
    <row r="82" spans="1:6" ht="24">
      <c r="A82" s="189">
        <v>140414</v>
      </c>
      <c r="B82" s="147" t="s">
        <v>599</v>
      </c>
      <c r="C82" s="175">
        <v>210915109</v>
      </c>
      <c r="D82" s="147" t="s">
        <v>671</v>
      </c>
      <c r="E82" s="121">
        <v>139</v>
      </c>
      <c r="F82" s="120">
        <v>0</v>
      </c>
    </row>
    <row r="83" spans="1:6" ht="12">
      <c r="A83" s="189">
        <v>140414</v>
      </c>
      <c r="B83" s="147" t="s">
        <v>599</v>
      </c>
      <c r="C83" s="175">
        <v>210968209</v>
      </c>
      <c r="D83" s="147" t="s">
        <v>672</v>
      </c>
      <c r="E83" s="121">
        <v>98</v>
      </c>
      <c r="F83" s="120">
        <v>0</v>
      </c>
    </row>
    <row r="84" spans="1:6" ht="24">
      <c r="A84" s="189">
        <v>140414</v>
      </c>
      <c r="B84" s="147" t="s">
        <v>599</v>
      </c>
      <c r="C84" s="175">
        <v>211027810</v>
      </c>
      <c r="D84" s="147" t="s">
        <v>673</v>
      </c>
      <c r="E84" s="121">
        <v>188</v>
      </c>
      <c r="F84" s="120">
        <v>0</v>
      </c>
    </row>
    <row r="85" spans="1:6" ht="12">
      <c r="A85" s="189">
        <v>140414</v>
      </c>
      <c r="B85" s="147" t="s">
        <v>599</v>
      </c>
      <c r="C85" s="175">
        <v>211054810</v>
      </c>
      <c r="D85" s="147" t="s">
        <v>674</v>
      </c>
      <c r="E85" s="121">
        <v>10</v>
      </c>
      <c r="F85" s="120">
        <v>0</v>
      </c>
    </row>
    <row r="86" spans="1:6" ht="12">
      <c r="A86" s="189">
        <v>140414</v>
      </c>
      <c r="B86" s="147" t="s">
        <v>599</v>
      </c>
      <c r="C86" s="175">
        <v>211085010</v>
      </c>
      <c r="D86" s="147" t="s">
        <v>675</v>
      </c>
      <c r="E86" s="121">
        <v>55</v>
      </c>
      <c r="F86" s="120">
        <v>0</v>
      </c>
    </row>
    <row r="87" spans="1:6" ht="12">
      <c r="A87" s="189">
        <v>140414</v>
      </c>
      <c r="B87" s="147" t="s">
        <v>599</v>
      </c>
      <c r="C87" s="147">
        <v>211150711</v>
      </c>
      <c r="D87" s="147" t="s">
        <v>676</v>
      </c>
      <c r="E87" s="121">
        <v>400</v>
      </c>
      <c r="F87" s="120">
        <v>0</v>
      </c>
    </row>
    <row r="88" spans="1:6" ht="12">
      <c r="A88" s="189">
        <v>140414</v>
      </c>
      <c r="B88" s="147" t="s">
        <v>599</v>
      </c>
      <c r="C88" s="175">
        <v>211176111</v>
      </c>
      <c r="D88" s="147" t="s">
        <v>677</v>
      </c>
      <c r="E88" s="121">
        <v>67</v>
      </c>
      <c r="F88" s="120">
        <v>0</v>
      </c>
    </row>
    <row r="89" spans="1:6" ht="24">
      <c r="A89" s="189">
        <v>140414</v>
      </c>
      <c r="B89" s="147" t="s">
        <v>599</v>
      </c>
      <c r="C89" s="175">
        <v>211213212</v>
      </c>
      <c r="D89" s="147" t="s">
        <v>678</v>
      </c>
      <c r="E89" s="121">
        <v>267</v>
      </c>
      <c r="F89" s="120">
        <v>0</v>
      </c>
    </row>
    <row r="90" spans="1:6" ht="24">
      <c r="A90" s="189">
        <v>140414</v>
      </c>
      <c r="B90" s="147" t="s">
        <v>599</v>
      </c>
      <c r="C90" s="175">
        <v>211225312</v>
      </c>
      <c r="D90" s="147" t="s">
        <v>679</v>
      </c>
      <c r="E90" s="121">
        <v>85</v>
      </c>
      <c r="F90" s="120">
        <v>0</v>
      </c>
    </row>
    <row r="91" spans="1:6" ht="12">
      <c r="A91" s="189">
        <v>140414</v>
      </c>
      <c r="B91" s="147" t="s">
        <v>599</v>
      </c>
      <c r="C91" s="175">
        <v>211317013</v>
      </c>
      <c r="D91" s="147" t="s">
        <v>680</v>
      </c>
      <c r="E91" s="121">
        <v>255</v>
      </c>
      <c r="F91" s="120">
        <v>0</v>
      </c>
    </row>
    <row r="92" spans="1:6" ht="12">
      <c r="A92" s="189">
        <v>140414</v>
      </c>
      <c r="B92" s="147" t="s">
        <v>599</v>
      </c>
      <c r="C92" s="175">
        <v>211319513</v>
      </c>
      <c r="D92" s="147" t="s">
        <v>681</v>
      </c>
      <c r="E92" s="121">
        <v>145</v>
      </c>
      <c r="F92" s="120">
        <v>0</v>
      </c>
    </row>
    <row r="93" spans="1:6" ht="12">
      <c r="A93" s="189">
        <v>140414</v>
      </c>
      <c r="B93" s="147" t="s">
        <v>599</v>
      </c>
      <c r="C93" s="175">
        <v>211325513</v>
      </c>
      <c r="D93" s="147" t="s">
        <v>682</v>
      </c>
      <c r="E93" s="121">
        <v>305</v>
      </c>
      <c r="F93" s="120">
        <v>0</v>
      </c>
    </row>
    <row r="94" spans="1:6" ht="12">
      <c r="A94" s="189">
        <v>140414</v>
      </c>
      <c r="B94" s="147" t="s">
        <v>599</v>
      </c>
      <c r="C94" s="175">
        <v>211341013</v>
      </c>
      <c r="D94" s="147" t="s">
        <v>683</v>
      </c>
      <c r="E94" s="121">
        <v>148</v>
      </c>
      <c r="F94" s="120">
        <v>0</v>
      </c>
    </row>
    <row r="95" spans="1:6" ht="12">
      <c r="A95" s="189">
        <v>140414</v>
      </c>
      <c r="B95" s="147" t="s">
        <v>599</v>
      </c>
      <c r="C95" s="175">
        <v>211350313</v>
      </c>
      <c r="D95" s="147" t="s">
        <v>684</v>
      </c>
      <c r="E95" s="121">
        <v>155</v>
      </c>
      <c r="F95" s="120">
        <v>0</v>
      </c>
    </row>
    <row r="96" spans="1:6" ht="12">
      <c r="A96" s="189">
        <v>140414</v>
      </c>
      <c r="B96" s="147" t="s">
        <v>599</v>
      </c>
      <c r="C96" s="175">
        <v>211368013</v>
      </c>
      <c r="D96" s="147" t="s">
        <v>685</v>
      </c>
      <c r="E96" s="121">
        <v>116</v>
      </c>
      <c r="F96" s="120">
        <v>0</v>
      </c>
    </row>
    <row r="97" spans="1:6" ht="12">
      <c r="A97" s="189">
        <v>140414</v>
      </c>
      <c r="B97" s="147" t="s">
        <v>599</v>
      </c>
      <c r="C97" s="175">
        <v>211415114</v>
      </c>
      <c r="D97" s="147" t="s">
        <v>686</v>
      </c>
      <c r="E97" s="121">
        <v>83</v>
      </c>
      <c r="F97" s="120">
        <v>0</v>
      </c>
    </row>
    <row r="98" spans="1:6" ht="12">
      <c r="A98" s="189">
        <v>140414</v>
      </c>
      <c r="B98" s="147" t="s">
        <v>599</v>
      </c>
      <c r="C98" s="147">
        <v>211415514</v>
      </c>
      <c r="D98" s="147" t="s">
        <v>687</v>
      </c>
      <c r="E98" s="121">
        <v>218</v>
      </c>
      <c r="F98" s="120">
        <v>0</v>
      </c>
    </row>
    <row r="99" spans="1:6" ht="12">
      <c r="A99" s="189">
        <v>140414</v>
      </c>
      <c r="B99" s="147" t="s">
        <v>599</v>
      </c>
      <c r="C99" s="175">
        <v>211425214</v>
      </c>
      <c r="D99" s="147" t="s">
        <v>688</v>
      </c>
      <c r="E99" s="121">
        <v>139</v>
      </c>
      <c r="F99" s="120">
        <v>0</v>
      </c>
    </row>
    <row r="100" spans="1:6" ht="12">
      <c r="A100" s="189">
        <v>140414</v>
      </c>
      <c r="B100" s="147" t="s">
        <v>599</v>
      </c>
      <c r="C100" s="175">
        <v>211525815</v>
      </c>
      <c r="D100" s="147" t="s">
        <v>689</v>
      </c>
      <c r="E100" s="121">
        <v>462</v>
      </c>
      <c r="F100" s="120">
        <v>0</v>
      </c>
    </row>
    <row r="101" spans="1:6" ht="24">
      <c r="A101" s="189">
        <v>140414</v>
      </c>
      <c r="B101" s="147" t="s">
        <v>599</v>
      </c>
      <c r="C101" s="175">
        <v>211568615</v>
      </c>
      <c r="D101" s="147" t="s">
        <v>690</v>
      </c>
      <c r="E101" s="121">
        <v>330</v>
      </c>
      <c r="F101" s="120">
        <v>0</v>
      </c>
    </row>
    <row r="102" spans="1:6" ht="24">
      <c r="A102" s="189">
        <v>140414</v>
      </c>
      <c r="B102" s="147" t="s">
        <v>599</v>
      </c>
      <c r="C102" s="175">
        <v>211570215</v>
      </c>
      <c r="D102" s="147" t="s">
        <v>691</v>
      </c>
      <c r="E102" s="121">
        <v>13</v>
      </c>
      <c r="F102" s="120">
        <v>0</v>
      </c>
    </row>
    <row r="103" spans="1:6" ht="12">
      <c r="A103" s="189">
        <v>140414</v>
      </c>
      <c r="B103" s="147" t="s">
        <v>599</v>
      </c>
      <c r="C103" s="175">
        <v>211585315</v>
      </c>
      <c r="D103" s="147" t="s">
        <v>692</v>
      </c>
      <c r="E103" s="121">
        <v>86</v>
      </c>
      <c r="F103" s="120">
        <v>0</v>
      </c>
    </row>
    <row r="104" spans="1:6" ht="12">
      <c r="A104" s="189">
        <v>140414</v>
      </c>
      <c r="B104" s="147" t="s">
        <v>599</v>
      </c>
      <c r="C104" s="175">
        <v>211641016</v>
      </c>
      <c r="D104" s="147" t="s">
        <v>693</v>
      </c>
      <c r="E104" s="121">
        <v>40</v>
      </c>
      <c r="F104" s="120">
        <v>0</v>
      </c>
    </row>
    <row r="105" spans="1:6" ht="12">
      <c r="A105" s="189">
        <v>140414</v>
      </c>
      <c r="B105" s="147" t="s">
        <v>599</v>
      </c>
      <c r="C105" s="175">
        <v>211715317</v>
      </c>
      <c r="D105" s="147" t="s">
        <v>694</v>
      </c>
      <c r="E105" s="121">
        <v>73</v>
      </c>
      <c r="F105" s="120">
        <v>0</v>
      </c>
    </row>
    <row r="106" spans="1:6" ht="12">
      <c r="A106" s="189">
        <v>140414</v>
      </c>
      <c r="B106" s="147" t="s">
        <v>599</v>
      </c>
      <c r="C106" s="175">
        <v>211725317</v>
      </c>
      <c r="D106" s="147" t="s">
        <v>695</v>
      </c>
      <c r="E106" s="121">
        <v>197</v>
      </c>
      <c r="F106" s="120">
        <v>0</v>
      </c>
    </row>
    <row r="107" spans="1:6" s="160" customFormat="1" ht="12">
      <c r="A107" s="189">
        <v>140414</v>
      </c>
      <c r="B107" s="147" t="s">
        <v>599</v>
      </c>
      <c r="C107" s="175">
        <v>211725817</v>
      </c>
      <c r="D107" s="147" t="s">
        <v>696</v>
      </c>
      <c r="E107" s="118">
        <v>55</v>
      </c>
      <c r="F107" s="120">
        <v>0</v>
      </c>
    </row>
    <row r="108" spans="1:6" ht="12">
      <c r="A108" s="189">
        <v>140414</v>
      </c>
      <c r="B108" s="147" t="s">
        <v>599</v>
      </c>
      <c r="C108" s="175">
        <v>211768217</v>
      </c>
      <c r="D108" s="147" t="s">
        <v>697</v>
      </c>
      <c r="E108" s="121">
        <v>111</v>
      </c>
      <c r="F108" s="120">
        <v>0</v>
      </c>
    </row>
    <row r="109" spans="1:6" ht="12">
      <c r="A109" s="189">
        <v>140414</v>
      </c>
      <c r="B109" s="147" t="s">
        <v>599</v>
      </c>
      <c r="C109" s="175">
        <v>211825718</v>
      </c>
      <c r="D109" s="147" t="s">
        <v>698</v>
      </c>
      <c r="E109" s="121">
        <v>5</v>
      </c>
      <c r="F109" s="120">
        <v>0</v>
      </c>
    </row>
    <row r="110" spans="1:6" ht="12">
      <c r="A110" s="189">
        <v>140414</v>
      </c>
      <c r="B110" s="147" t="s">
        <v>599</v>
      </c>
      <c r="C110" s="175">
        <v>211841518</v>
      </c>
      <c r="D110" s="147" t="s">
        <v>699</v>
      </c>
      <c r="E110" s="121">
        <v>123</v>
      </c>
      <c r="F110" s="120">
        <v>0</v>
      </c>
    </row>
    <row r="111" spans="1:6" ht="12">
      <c r="A111" s="189">
        <v>140414</v>
      </c>
      <c r="B111" s="147" t="s">
        <v>599</v>
      </c>
      <c r="C111" s="175">
        <v>211850318</v>
      </c>
      <c r="D111" s="147" t="s">
        <v>700</v>
      </c>
      <c r="E111" s="121">
        <v>38</v>
      </c>
      <c r="F111" s="120">
        <v>0</v>
      </c>
    </row>
    <row r="112" spans="1:6" ht="12">
      <c r="A112" s="189">
        <v>140414</v>
      </c>
      <c r="B112" s="147" t="s">
        <v>599</v>
      </c>
      <c r="C112" s="175">
        <v>211868418</v>
      </c>
      <c r="D112" s="147" t="s">
        <v>701</v>
      </c>
      <c r="E112" s="121">
        <v>240</v>
      </c>
      <c r="F112" s="120">
        <v>0</v>
      </c>
    </row>
    <row r="113" spans="1:6" ht="24">
      <c r="A113" s="189">
        <v>140414</v>
      </c>
      <c r="B113" s="147" t="s">
        <v>599</v>
      </c>
      <c r="C113" s="175">
        <v>211925019</v>
      </c>
      <c r="D113" s="147" t="s">
        <v>702</v>
      </c>
      <c r="E113" s="121">
        <v>185</v>
      </c>
      <c r="F113" s="120">
        <v>0</v>
      </c>
    </row>
    <row r="114" spans="1:6" ht="24">
      <c r="A114" s="189">
        <v>140414</v>
      </c>
      <c r="B114" s="147" t="s">
        <v>599</v>
      </c>
      <c r="C114" s="175">
        <v>211941319</v>
      </c>
      <c r="D114" s="147" t="s">
        <v>703</v>
      </c>
      <c r="E114" s="121">
        <v>123</v>
      </c>
      <c r="F114" s="120">
        <v>0</v>
      </c>
    </row>
    <row r="115" spans="1:6" ht="12">
      <c r="A115" s="189">
        <v>140414</v>
      </c>
      <c r="B115" s="147" t="s">
        <v>599</v>
      </c>
      <c r="C115" s="147">
        <v>211952019</v>
      </c>
      <c r="D115" s="147" t="s">
        <v>704</v>
      </c>
      <c r="E115" s="121">
        <v>191</v>
      </c>
      <c r="F115" s="120">
        <v>0</v>
      </c>
    </row>
    <row r="116" spans="1:6" ht="24">
      <c r="A116" s="189">
        <v>140414</v>
      </c>
      <c r="B116" s="147" t="s">
        <v>599</v>
      </c>
      <c r="C116" s="175">
        <v>211986219</v>
      </c>
      <c r="D116" s="147" t="s">
        <v>705</v>
      </c>
      <c r="E116" s="121">
        <v>99</v>
      </c>
      <c r="F116" s="120">
        <v>0</v>
      </c>
    </row>
    <row r="117" spans="1:6" ht="12">
      <c r="A117" s="189">
        <v>140414</v>
      </c>
      <c r="B117" s="147" t="s">
        <v>599</v>
      </c>
      <c r="C117" s="175">
        <v>212013620</v>
      </c>
      <c r="D117" s="147" t="s">
        <v>706</v>
      </c>
      <c r="E117" s="121">
        <v>90</v>
      </c>
      <c r="F117" s="120">
        <v>0</v>
      </c>
    </row>
    <row r="118" spans="1:6" ht="12">
      <c r="A118" s="189">
        <v>140414</v>
      </c>
      <c r="B118" s="147" t="s">
        <v>599</v>
      </c>
      <c r="C118" s="147">
        <v>212015820</v>
      </c>
      <c r="D118" s="147" t="s">
        <v>707</v>
      </c>
      <c r="E118" s="121">
        <v>30</v>
      </c>
      <c r="F118" s="120">
        <v>0</v>
      </c>
    </row>
    <row r="119" spans="1:6" ht="24">
      <c r="A119" s="189">
        <v>140414</v>
      </c>
      <c r="B119" s="147" t="s">
        <v>599</v>
      </c>
      <c r="C119" s="175">
        <v>212025120</v>
      </c>
      <c r="D119" s="147" t="s">
        <v>708</v>
      </c>
      <c r="E119" s="121">
        <v>184</v>
      </c>
      <c r="F119" s="120">
        <v>0</v>
      </c>
    </row>
    <row r="120" spans="1:6" ht="12">
      <c r="A120" s="189">
        <v>140414</v>
      </c>
      <c r="B120" s="147" t="s">
        <v>599</v>
      </c>
      <c r="C120" s="175">
        <v>212025320</v>
      </c>
      <c r="D120" s="147" t="s">
        <v>709</v>
      </c>
      <c r="E120" s="121">
        <v>610</v>
      </c>
      <c r="F120" s="120">
        <v>0</v>
      </c>
    </row>
    <row r="121" spans="1:6" ht="12">
      <c r="A121" s="189">
        <v>140414</v>
      </c>
      <c r="B121" s="147" t="s">
        <v>599</v>
      </c>
      <c r="C121" s="175">
        <v>212041020</v>
      </c>
      <c r="D121" s="147" t="s">
        <v>710</v>
      </c>
      <c r="E121" s="121">
        <v>213</v>
      </c>
      <c r="F121" s="120">
        <v>0</v>
      </c>
    </row>
    <row r="122" spans="1:6" ht="12">
      <c r="A122" s="189">
        <v>140414</v>
      </c>
      <c r="B122" s="147" t="s">
        <v>599</v>
      </c>
      <c r="C122" s="175">
        <v>212054520</v>
      </c>
      <c r="D122" s="147" t="s">
        <v>711</v>
      </c>
      <c r="E122" s="121">
        <v>175</v>
      </c>
      <c r="F122" s="120">
        <v>0</v>
      </c>
    </row>
    <row r="123" spans="1:6" ht="12">
      <c r="A123" s="189">
        <v>140414</v>
      </c>
      <c r="B123" s="147" t="s">
        <v>599</v>
      </c>
      <c r="C123" s="175">
        <v>212068820</v>
      </c>
      <c r="D123" s="147" t="s">
        <v>712</v>
      </c>
      <c r="E123" s="121">
        <v>107</v>
      </c>
      <c r="F123" s="120">
        <v>0</v>
      </c>
    </row>
    <row r="124" spans="1:6" ht="12">
      <c r="A124" s="189">
        <v>140414</v>
      </c>
      <c r="B124" s="147" t="s">
        <v>599</v>
      </c>
      <c r="C124" s="175">
        <v>212076020</v>
      </c>
      <c r="D124" s="147" t="s">
        <v>713</v>
      </c>
      <c r="E124" s="121">
        <v>231</v>
      </c>
      <c r="F124" s="120">
        <v>0</v>
      </c>
    </row>
    <row r="125" spans="1:6" ht="12">
      <c r="A125" s="189">
        <v>140414</v>
      </c>
      <c r="B125" s="147" t="s">
        <v>599</v>
      </c>
      <c r="C125" s="175">
        <v>212076520</v>
      </c>
      <c r="D125" s="147" t="s">
        <v>714</v>
      </c>
      <c r="E125" s="121">
        <v>468</v>
      </c>
      <c r="F125" s="120">
        <v>0</v>
      </c>
    </row>
    <row r="126" spans="1:6" ht="12">
      <c r="A126" s="189">
        <v>140414</v>
      </c>
      <c r="B126" s="147" t="s">
        <v>599</v>
      </c>
      <c r="C126" s="175">
        <v>212105321</v>
      </c>
      <c r="D126" s="147" t="s">
        <v>715</v>
      </c>
      <c r="E126" s="121">
        <v>422</v>
      </c>
      <c r="F126" s="120">
        <v>0</v>
      </c>
    </row>
    <row r="127" spans="1:6" ht="12">
      <c r="A127" s="189">
        <v>140414</v>
      </c>
      <c r="B127" s="147" t="s">
        <v>599</v>
      </c>
      <c r="C127" s="147">
        <v>212115621</v>
      </c>
      <c r="D127" s="147" t="s">
        <v>716</v>
      </c>
      <c r="E127" s="121">
        <v>85</v>
      </c>
      <c r="F127" s="120">
        <v>0</v>
      </c>
    </row>
    <row r="128" spans="1:6" ht="12">
      <c r="A128" s="189">
        <v>140414</v>
      </c>
      <c r="B128" s="147" t="s">
        <v>599</v>
      </c>
      <c r="C128" s="175">
        <v>212119821</v>
      </c>
      <c r="D128" s="147" t="s">
        <v>717</v>
      </c>
      <c r="E128" s="121">
        <v>453</v>
      </c>
      <c r="F128" s="120">
        <v>0</v>
      </c>
    </row>
    <row r="129" spans="1:6" ht="12">
      <c r="A129" s="189">
        <v>140414</v>
      </c>
      <c r="B129" s="147" t="s">
        <v>599</v>
      </c>
      <c r="C129" s="175">
        <v>212215322</v>
      </c>
      <c r="D129" s="147" t="s">
        <v>718</v>
      </c>
      <c r="E129" s="121">
        <v>257</v>
      </c>
      <c r="F129" s="120">
        <v>0</v>
      </c>
    </row>
    <row r="130" spans="1:6" ht="12">
      <c r="A130" s="189">
        <v>140414</v>
      </c>
      <c r="B130" s="147" t="s">
        <v>599</v>
      </c>
      <c r="C130" s="175">
        <v>212225322</v>
      </c>
      <c r="D130" s="147" t="s">
        <v>719</v>
      </c>
      <c r="E130" s="121">
        <v>278</v>
      </c>
      <c r="F130" s="120">
        <v>0</v>
      </c>
    </row>
    <row r="131" spans="1:6" ht="24">
      <c r="A131" s="189">
        <v>140414</v>
      </c>
      <c r="B131" s="147" t="s">
        <v>599</v>
      </c>
      <c r="C131" s="175">
        <v>212268322</v>
      </c>
      <c r="D131" s="147" t="s">
        <v>720</v>
      </c>
      <c r="E131" s="121">
        <v>75</v>
      </c>
      <c r="F131" s="120">
        <v>0</v>
      </c>
    </row>
    <row r="132" spans="1:6" ht="12">
      <c r="A132" s="189">
        <v>140414</v>
      </c>
      <c r="B132" s="147" t="s">
        <v>599</v>
      </c>
      <c r="C132" s="175">
        <v>212315223</v>
      </c>
      <c r="D132" s="147" t="s">
        <v>721</v>
      </c>
      <c r="E132" s="121">
        <v>208</v>
      </c>
      <c r="F132" s="120">
        <v>0</v>
      </c>
    </row>
    <row r="133" spans="1:6" ht="12">
      <c r="A133" s="189">
        <v>140414</v>
      </c>
      <c r="B133" s="147" t="s">
        <v>599</v>
      </c>
      <c r="C133" s="175">
        <v>212419824</v>
      </c>
      <c r="D133" s="147" t="s">
        <v>722</v>
      </c>
      <c r="E133" s="121">
        <v>200</v>
      </c>
      <c r="F133" s="120">
        <v>0</v>
      </c>
    </row>
    <row r="134" spans="1:6" ht="12">
      <c r="A134" s="189">
        <v>140414</v>
      </c>
      <c r="B134" s="147" t="s">
        <v>599</v>
      </c>
      <c r="C134" s="175">
        <v>212425224</v>
      </c>
      <c r="D134" s="147" t="s">
        <v>723</v>
      </c>
      <c r="E134" s="121">
        <v>223</v>
      </c>
      <c r="F134" s="120">
        <v>0</v>
      </c>
    </row>
    <row r="135" spans="1:6" ht="12">
      <c r="A135" s="189">
        <v>140414</v>
      </c>
      <c r="B135" s="147" t="s">
        <v>599</v>
      </c>
      <c r="C135" s="175">
        <v>212441524</v>
      </c>
      <c r="D135" s="147" t="s">
        <v>724</v>
      </c>
      <c r="E135" s="121">
        <v>292</v>
      </c>
      <c r="F135" s="120">
        <v>0</v>
      </c>
    </row>
    <row r="136" spans="1:6" ht="24">
      <c r="A136" s="189">
        <v>140414</v>
      </c>
      <c r="B136" s="147" t="s">
        <v>599</v>
      </c>
      <c r="C136" s="175">
        <v>212468524</v>
      </c>
      <c r="D136" s="147" t="s">
        <v>725</v>
      </c>
      <c r="E136" s="121">
        <v>148</v>
      </c>
      <c r="F136" s="120">
        <v>0</v>
      </c>
    </row>
    <row r="137" spans="1:6" ht="12">
      <c r="A137" s="189">
        <v>140414</v>
      </c>
      <c r="B137" s="147" t="s">
        <v>599</v>
      </c>
      <c r="C137" s="175">
        <v>212527025</v>
      </c>
      <c r="D137" s="147" t="s">
        <v>726</v>
      </c>
      <c r="E137" s="121">
        <v>242</v>
      </c>
      <c r="F137" s="120">
        <v>0</v>
      </c>
    </row>
    <row r="138" spans="1:6" ht="12">
      <c r="A138" s="189">
        <v>140414</v>
      </c>
      <c r="B138" s="147" t="s">
        <v>599</v>
      </c>
      <c r="C138" s="175">
        <v>212554125</v>
      </c>
      <c r="D138" s="147" t="s">
        <v>727</v>
      </c>
      <c r="E138" s="121">
        <v>110</v>
      </c>
      <c r="F138" s="120">
        <v>0</v>
      </c>
    </row>
    <row r="139" spans="1:6" ht="12">
      <c r="A139" s="189">
        <v>140414</v>
      </c>
      <c r="B139" s="147" t="s">
        <v>599</v>
      </c>
      <c r="C139" s="175">
        <v>212585225</v>
      </c>
      <c r="D139" s="147" t="s">
        <v>728</v>
      </c>
      <c r="E139" s="121">
        <v>27</v>
      </c>
      <c r="F139" s="120">
        <v>0</v>
      </c>
    </row>
    <row r="140" spans="1:6" ht="12">
      <c r="A140" s="189">
        <v>140414</v>
      </c>
      <c r="B140" s="147" t="s">
        <v>599</v>
      </c>
      <c r="C140" s="175">
        <v>212625126</v>
      </c>
      <c r="D140" s="147" t="s">
        <v>729</v>
      </c>
      <c r="E140" s="121">
        <v>658</v>
      </c>
      <c r="F140" s="120">
        <v>0</v>
      </c>
    </row>
    <row r="141" spans="1:6" ht="12">
      <c r="A141" s="189">
        <v>140414</v>
      </c>
      <c r="B141" s="147" t="s">
        <v>599</v>
      </c>
      <c r="C141" s="175">
        <v>212625326</v>
      </c>
      <c r="D141" s="147" t="s">
        <v>730</v>
      </c>
      <c r="E141" s="121">
        <v>259</v>
      </c>
      <c r="F141" s="120">
        <v>0</v>
      </c>
    </row>
    <row r="142" spans="1:6" ht="12">
      <c r="A142" s="189">
        <v>140414</v>
      </c>
      <c r="B142" s="147" t="s">
        <v>599</v>
      </c>
      <c r="C142" s="175">
        <v>212641026</v>
      </c>
      <c r="D142" s="147" t="s">
        <v>731</v>
      </c>
      <c r="E142" s="121">
        <v>131</v>
      </c>
      <c r="F142" s="120">
        <v>0</v>
      </c>
    </row>
    <row r="143" spans="1:6" ht="12">
      <c r="A143" s="189">
        <v>140414</v>
      </c>
      <c r="B143" s="147" t="s">
        <v>599</v>
      </c>
      <c r="C143" s="175">
        <v>212650226</v>
      </c>
      <c r="D143" s="147" t="s">
        <v>732</v>
      </c>
      <c r="E143" s="121">
        <v>261</v>
      </c>
      <c r="F143" s="120">
        <v>0</v>
      </c>
    </row>
    <row r="144" spans="1:6" ht="12">
      <c r="A144" s="189">
        <v>140414</v>
      </c>
      <c r="B144" s="147" t="s">
        <v>599</v>
      </c>
      <c r="C144" s="175">
        <v>212676126</v>
      </c>
      <c r="D144" s="147" t="s">
        <v>733</v>
      </c>
      <c r="E144" s="121">
        <v>427</v>
      </c>
      <c r="F144" s="120">
        <v>0</v>
      </c>
    </row>
    <row r="145" spans="1:6" ht="12">
      <c r="A145" s="189">
        <v>140414</v>
      </c>
      <c r="B145" s="147" t="s">
        <v>599</v>
      </c>
      <c r="C145" s="175">
        <v>212820228</v>
      </c>
      <c r="D145" s="147" t="s">
        <v>734</v>
      </c>
      <c r="E145" s="121">
        <v>306</v>
      </c>
      <c r="F145" s="120">
        <v>0</v>
      </c>
    </row>
    <row r="146" spans="1:6" ht="24">
      <c r="A146" s="189">
        <v>140414</v>
      </c>
      <c r="B146" s="147" t="s">
        <v>599</v>
      </c>
      <c r="C146" s="175">
        <v>212825328</v>
      </c>
      <c r="D146" s="147" t="s">
        <v>735</v>
      </c>
      <c r="E146" s="121">
        <v>163</v>
      </c>
      <c r="F146" s="120">
        <v>0</v>
      </c>
    </row>
    <row r="147" spans="1:6" ht="24">
      <c r="A147" s="189">
        <v>140414</v>
      </c>
      <c r="B147" s="147" t="s">
        <v>599</v>
      </c>
      <c r="C147" s="175">
        <v>212918029</v>
      </c>
      <c r="D147" s="147" t="s">
        <v>736</v>
      </c>
      <c r="E147" s="121">
        <v>5</v>
      </c>
      <c r="F147" s="120">
        <v>0</v>
      </c>
    </row>
    <row r="148" spans="1:6" ht="12">
      <c r="A148" s="189">
        <v>140414</v>
      </c>
      <c r="B148" s="147" t="s">
        <v>599</v>
      </c>
      <c r="C148" s="175">
        <v>213025430</v>
      </c>
      <c r="D148" s="147" t="s">
        <v>737</v>
      </c>
      <c r="E148" s="121">
        <v>9</v>
      </c>
      <c r="F148" s="120">
        <v>0</v>
      </c>
    </row>
    <row r="149" spans="1:6" ht="12">
      <c r="A149" s="189">
        <v>140414</v>
      </c>
      <c r="B149" s="147" t="s">
        <v>599</v>
      </c>
      <c r="C149" s="175">
        <v>213025530</v>
      </c>
      <c r="D149" s="147" t="s">
        <v>738</v>
      </c>
      <c r="E149" s="121">
        <v>205</v>
      </c>
      <c r="F149" s="120">
        <v>0</v>
      </c>
    </row>
    <row r="150" spans="1:6" ht="24">
      <c r="A150" s="189">
        <v>140414</v>
      </c>
      <c r="B150" s="147" t="s">
        <v>599</v>
      </c>
      <c r="C150" s="175">
        <v>213041530</v>
      </c>
      <c r="D150" s="147" t="s">
        <v>739</v>
      </c>
      <c r="E150" s="121">
        <v>147</v>
      </c>
      <c r="F150" s="120">
        <v>0</v>
      </c>
    </row>
    <row r="151" spans="1:6" ht="12">
      <c r="A151" s="189">
        <v>140414</v>
      </c>
      <c r="B151" s="147" t="s">
        <v>599</v>
      </c>
      <c r="C151" s="175">
        <v>213044430</v>
      </c>
      <c r="D151" s="147" t="s">
        <v>740</v>
      </c>
      <c r="E151" s="121">
        <v>8477</v>
      </c>
      <c r="F151" s="120">
        <v>0</v>
      </c>
    </row>
    <row r="152" spans="1:6" ht="12">
      <c r="A152" s="189">
        <v>140414</v>
      </c>
      <c r="B152" s="147" t="s">
        <v>599</v>
      </c>
      <c r="C152" s="175">
        <v>213050330</v>
      </c>
      <c r="D152" s="147" t="s">
        <v>741</v>
      </c>
      <c r="E152" s="121">
        <v>184</v>
      </c>
      <c r="F152" s="120">
        <v>0</v>
      </c>
    </row>
    <row r="153" spans="1:6" ht="24">
      <c r="A153" s="189">
        <v>140414</v>
      </c>
      <c r="B153" s="147" t="s">
        <v>599</v>
      </c>
      <c r="C153" s="175">
        <v>213076130</v>
      </c>
      <c r="D153" s="147" t="s">
        <v>742</v>
      </c>
      <c r="E153" s="121">
        <v>642</v>
      </c>
      <c r="F153" s="120">
        <v>0</v>
      </c>
    </row>
    <row r="154" spans="1:6" ht="12">
      <c r="A154" s="189">
        <v>140414</v>
      </c>
      <c r="B154" s="147" t="s">
        <v>599</v>
      </c>
      <c r="C154" s="169" t="s">
        <v>743</v>
      </c>
      <c r="D154" s="147" t="s">
        <v>744</v>
      </c>
      <c r="E154" s="121">
        <v>45</v>
      </c>
      <c r="F154" s="120">
        <v>0</v>
      </c>
    </row>
    <row r="155" spans="1:6" ht="24">
      <c r="A155" s="189">
        <v>140414</v>
      </c>
      <c r="B155" s="147" t="s">
        <v>599</v>
      </c>
      <c r="C155" s="175">
        <v>213115131</v>
      </c>
      <c r="D155" s="147" t="s">
        <v>745</v>
      </c>
      <c r="E155" s="121">
        <v>91</v>
      </c>
      <c r="F155" s="120">
        <v>0</v>
      </c>
    </row>
    <row r="156" spans="1:6" ht="12">
      <c r="A156" s="189">
        <v>140414</v>
      </c>
      <c r="B156" s="147" t="s">
        <v>599</v>
      </c>
      <c r="C156" s="175">
        <v>213215232</v>
      </c>
      <c r="D156" s="147" t="s">
        <v>746</v>
      </c>
      <c r="E156" s="121">
        <v>146</v>
      </c>
      <c r="F156" s="120">
        <v>0</v>
      </c>
    </row>
    <row r="157" spans="1:6" ht="12">
      <c r="A157" s="189">
        <v>140414</v>
      </c>
      <c r="B157" s="147" t="s">
        <v>599</v>
      </c>
      <c r="C157" s="147">
        <v>213215332</v>
      </c>
      <c r="D157" s="147" t="s">
        <v>747</v>
      </c>
      <c r="E157" s="121">
        <v>151</v>
      </c>
      <c r="F157" s="120">
        <v>0</v>
      </c>
    </row>
    <row r="158" spans="1:6" ht="12">
      <c r="A158" s="189">
        <v>140414</v>
      </c>
      <c r="B158" s="147" t="s">
        <v>599</v>
      </c>
      <c r="C158" s="147">
        <v>213215832</v>
      </c>
      <c r="D158" s="147" t="s">
        <v>748</v>
      </c>
      <c r="E158" s="121">
        <v>87</v>
      </c>
      <c r="F158" s="120">
        <v>0</v>
      </c>
    </row>
    <row r="159" spans="1:6" ht="24">
      <c r="A159" s="189">
        <v>140414</v>
      </c>
      <c r="B159" s="147" t="s">
        <v>599</v>
      </c>
      <c r="C159" s="175">
        <v>213219532</v>
      </c>
      <c r="D159" s="147" t="s">
        <v>749</v>
      </c>
      <c r="E159" s="121">
        <v>411</v>
      </c>
      <c r="F159" s="120">
        <v>0</v>
      </c>
    </row>
    <row r="160" spans="1:6" ht="12">
      <c r="A160" s="189">
        <v>140414</v>
      </c>
      <c r="B160" s="147" t="s">
        <v>599</v>
      </c>
      <c r="C160" s="175">
        <v>213241132</v>
      </c>
      <c r="D160" s="147" t="s">
        <v>750</v>
      </c>
      <c r="E160" s="121">
        <v>360</v>
      </c>
      <c r="F160" s="120">
        <v>0</v>
      </c>
    </row>
    <row r="161" spans="1:6" ht="12">
      <c r="A161" s="189">
        <v>140414</v>
      </c>
      <c r="B161" s="147" t="s">
        <v>599</v>
      </c>
      <c r="C161" s="175">
        <v>213268132</v>
      </c>
      <c r="D161" s="147" t="s">
        <v>751</v>
      </c>
      <c r="E161" s="121">
        <v>51</v>
      </c>
      <c r="F161" s="120">
        <v>0</v>
      </c>
    </row>
    <row r="162" spans="1:6" ht="12">
      <c r="A162" s="189">
        <v>140414</v>
      </c>
      <c r="B162" s="147" t="s">
        <v>599</v>
      </c>
      <c r="C162" s="175">
        <v>213315533</v>
      </c>
      <c r="D162" s="147" t="s">
        <v>752</v>
      </c>
      <c r="E162" s="121">
        <v>161</v>
      </c>
      <c r="F162" s="120">
        <v>0</v>
      </c>
    </row>
    <row r="163" spans="1:6" ht="12">
      <c r="A163" s="189">
        <v>140414</v>
      </c>
      <c r="B163" s="147" t="s">
        <v>599</v>
      </c>
      <c r="C163" s="175">
        <v>213319533</v>
      </c>
      <c r="D163" s="147" t="s">
        <v>753</v>
      </c>
      <c r="E163" s="121">
        <v>119</v>
      </c>
      <c r="F163" s="120">
        <v>0</v>
      </c>
    </row>
    <row r="164" spans="1:6" ht="24">
      <c r="A164" s="189">
        <v>140414</v>
      </c>
      <c r="B164" s="147" t="s">
        <v>599</v>
      </c>
      <c r="C164" s="175">
        <v>213515135</v>
      </c>
      <c r="D164" s="147" t="s">
        <v>754</v>
      </c>
      <c r="E164" s="121">
        <v>129</v>
      </c>
      <c r="F164" s="120">
        <v>0</v>
      </c>
    </row>
    <row r="165" spans="1:6" ht="12">
      <c r="A165" s="189">
        <v>140414</v>
      </c>
      <c r="B165" s="147" t="s">
        <v>599</v>
      </c>
      <c r="C165" s="175">
        <v>213525335</v>
      </c>
      <c r="D165" s="147" t="s">
        <v>755</v>
      </c>
      <c r="E165" s="121">
        <v>324</v>
      </c>
      <c r="F165" s="120">
        <v>0</v>
      </c>
    </row>
    <row r="166" spans="1:6" ht="12">
      <c r="A166" s="189">
        <v>140414</v>
      </c>
      <c r="B166" s="147" t="s">
        <v>599</v>
      </c>
      <c r="C166" s="175">
        <v>213525535</v>
      </c>
      <c r="D166" s="147" t="s">
        <v>756</v>
      </c>
      <c r="E166" s="121">
        <v>201</v>
      </c>
      <c r="F166" s="120">
        <v>0</v>
      </c>
    </row>
    <row r="167" spans="1:6" ht="24">
      <c r="A167" s="189">
        <v>140414</v>
      </c>
      <c r="B167" s="147" t="s">
        <v>599</v>
      </c>
      <c r="C167" s="175">
        <v>213527135</v>
      </c>
      <c r="D167" s="147" t="s">
        <v>757</v>
      </c>
      <c r="E167" s="121">
        <v>143</v>
      </c>
      <c r="F167" s="120">
        <v>0</v>
      </c>
    </row>
    <row r="168" spans="1:6" ht="12">
      <c r="A168" s="189">
        <v>140414</v>
      </c>
      <c r="B168" s="147" t="s">
        <v>599</v>
      </c>
      <c r="C168" s="175">
        <v>213544035</v>
      </c>
      <c r="D168" s="147" t="s">
        <v>758</v>
      </c>
      <c r="E168" s="121">
        <v>129</v>
      </c>
      <c r="F168" s="120">
        <v>0</v>
      </c>
    </row>
    <row r="169" spans="1:6" ht="12">
      <c r="A169" s="189">
        <v>140414</v>
      </c>
      <c r="B169" s="147" t="s">
        <v>599</v>
      </c>
      <c r="C169" s="169" t="s">
        <v>759</v>
      </c>
      <c r="D169" s="147" t="s">
        <v>760</v>
      </c>
      <c r="E169" s="121">
        <v>245</v>
      </c>
      <c r="F169" s="120">
        <v>0</v>
      </c>
    </row>
    <row r="170" spans="1:6" ht="12">
      <c r="A170" s="189">
        <v>140414</v>
      </c>
      <c r="B170" s="147" t="s">
        <v>599</v>
      </c>
      <c r="C170" s="175">
        <v>213615236</v>
      </c>
      <c r="D170" s="147" t="s">
        <v>761</v>
      </c>
      <c r="E170" s="121">
        <v>108</v>
      </c>
      <c r="F170" s="120">
        <v>0</v>
      </c>
    </row>
    <row r="171" spans="1:6" ht="12">
      <c r="A171" s="189">
        <v>140414</v>
      </c>
      <c r="B171" s="147" t="s">
        <v>599</v>
      </c>
      <c r="C171" s="175">
        <v>213625436</v>
      </c>
      <c r="D171" s="147" t="s">
        <v>762</v>
      </c>
      <c r="E171" s="121">
        <v>161</v>
      </c>
      <c r="F171" s="120">
        <v>0</v>
      </c>
    </row>
    <row r="172" spans="1:6" ht="24">
      <c r="A172" s="189">
        <v>140414</v>
      </c>
      <c r="B172" s="147" t="s">
        <v>599</v>
      </c>
      <c r="C172" s="175">
        <v>213708137</v>
      </c>
      <c r="D172" s="147" t="s">
        <v>763</v>
      </c>
      <c r="E172" s="121">
        <v>379</v>
      </c>
      <c r="F172" s="120">
        <v>0</v>
      </c>
    </row>
    <row r="173" spans="1:6" ht="12">
      <c r="A173" s="189">
        <v>140414</v>
      </c>
      <c r="B173" s="147" t="s">
        <v>599</v>
      </c>
      <c r="C173" s="175">
        <v>213719137</v>
      </c>
      <c r="D173" s="147" t="s">
        <v>764</v>
      </c>
      <c r="E173" s="121">
        <v>216</v>
      </c>
      <c r="F173" s="120">
        <v>0</v>
      </c>
    </row>
    <row r="174" spans="1:6" ht="24">
      <c r="A174" s="189">
        <v>140414</v>
      </c>
      <c r="B174" s="147" t="s">
        <v>599</v>
      </c>
      <c r="C174" s="175">
        <v>213808638</v>
      </c>
      <c r="D174" s="147" t="s">
        <v>765</v>
      </c>
      <c r="E174" s="121">
        <v>732</v>
      </c>
      <c r="F174" s="120">
        <v>0</v>
      </c>
    </row>
    <row r="175" spans="1:6" ht="12">
      <c r="A175" s="189">
        <v>140414</v>
      </c>
      <c r="B175" s="147" t="s">
        <v>599</v>
      </c>
      <c r="C175" s="175">
        <v>213925839</v>
      </c>
      <c r="D175" s="147" t="s">
        <v>766</v>
      </c>
      <c r="E175" s="121">
        <v>322</v>
      </c>
      <c r="F175" s="120">
        <v>0</v>
      </c>
    </row>
    <row r="176" spans="1:6" ht="12">
      <c r="A176" s="189">
        <v>140414</v>
      </c>
      <c r="B176" s="147" t="s">
        <v>599</v>
      </c>
      <c r="C176" s="169" t="s">
        <v>767</v>
      </c>
      <c r="D176" s="147" t="s">
        <v>768</v>
      </c>
      <c r="E176" s="121">
        <v>660</v>
      </c>
      <c r="F176" s="120">
        <v>0</v>
      </c>
    </row>
    <row r="177" spans="1:6" ht="12">
      <c r="A177" s="189">
        <v>140414</v>
      </c>
      <c r="B177" s="147" t="s">
        <v>599</v>
      </c>
      <c r="C177" s="175">
        <v>214066440</v>
      </c>
      <c r="D177" s="147" t="s">
        <v>769</v>
      </c>
      <c r="E177" s="121">
        <v>27</v>
      </c>
      <c r="F177" s="120">
        <v>0</v>
      </c>
    </row>
    <row r="178" spans="1:6" ht="24">
      <c r="A178" s="189">
        <v>140414</v>
      </c>
      <c r="B178" s="147" t="s">
        <v>599</v>
      </c>
      <c r="C178" s="175">
        <v>214085440</v>
      </c>
      <c r="D178" s="147" t="s">
        <v>770</v>
      </c>
      <c r="E178" s="121">
        <v>749</v>
      </c>
      <c r="F178" s="120">
        <v>0</v>
      </c>
    </row>
    <row r="179" spans="1:6" ht="24">
      <c r="A179" s="189">
        <v>140414</v>
      </c>
      <c r="B179" s="147" t="s">
        <v>599</v>
      </c>
      <c r="C179" s="175">
        <v>214108141</v>
      </c>
      <c r="D179" s="147" t="s">
        <v>771</v>
      </c>
      <c r="E179" s="121">
        <v>16</v>
      </c>
      <c r="F179" s="120">
        <v>0</v>
      </c>
    </row>
    <row r="180" spans="1:6" ht="12">
      <c r="A180" s="189">
        <v>140414</v>
      </c>
      <c r="B180" s="147" t="s">
        <v>599</v>
      </c>
      <c r="C180" s="175">
        <v>214125841</v>
      </c>
      <c r="D180" s="147" t="s">
        <v>772</v>
      </c>
      <c r="E180" s="121">
        <v>149</v>
      </c>
      <c r="F180" s="120">
        <v>0</v>
      </c>
    </row>
    <row r="181" spans="1:6" ht="24">
      <c r="A181" s="189">
        <v>140414</v>
      </c>
      <c r="B181" s="147" t="s">
        <v>599</v>
      </c>
      <c r="C181" s="175">
        <v>214205042</v>
      </c>
      <c r="D181" s="147" t="s">
        <v>773</v>
      </c>
      <c r="E181" s="121">
        <v>711</v>
      </c>
      <c r="F181" s="120">
        <v>0</v>
      </c>
    </row>
    <row r="182" spans="1:6" ht="12">
      <c r="A182" s="189">
        <v>140414</v>
      </c>
      <c r="B182" s="147" t="s">
        <v>599</v>
      </c>
      <c r="C182" s="175">
        <v>214217442</v>
      </c>
      <c r="D182" s="147" t="s">
        <v>774</v>
      </c>
      <c r="E182" s="121">
        <v>156</v>
      </c>
      <c r="F182" s="120">
        <v>0</v>
      </c>
    </row>
    <row r="183" spans="1:6" ht="12">
      <c r="A183" s="189">
        <v>140414</v>
      </c>
      <c r="B183" s="147" t="s">
        <v>599</v>
      </c>
      <c r="C183" s="175">
        <v>214219142</v>
      </c>
      <c r="D183" s="147" t="s">
        <v>775</v>
      </c>
      <c r="E183" s="121">
        <v>1128</v>
      </c>
      <c r="F183" s="120">
        <v>0</v>
      </c>
    </row>
    <row r="184" spans="1:6" ht="12">
      <c r="A184" s="189">
        <v>140414</v>
      </c>
      <c r="B184" s="147" t="s">
        <v>599</v>
      </c>
      <c r="C184" s="175">
        <v>214270742</v>
      </c>
      <c r="D184" s="147" t="s">
        <v>776</v>
      </c>
      <c r="E184" s="121">
        <v>359</v>
      </c>
      <c r="F184" s="120">
        <v>0</v>
      </c>
    </row>
    <row r="185" spans="1:6" ht="12">
      <c r="A185" s="189">
        <v>140414</v>
      </c>
      <c r="B185" s="147" t="s">
        <v>599</v>
      </c>
      <c r="C185" s="175">
        <v>214305543</v>
      </c>
      <c r="D185" s="147" t="s">
        <v>777</v>
      </c>
      <c r="E185" s="121">
        <v>183</v>
      </c>
      <c r="F185" s="120">
        <v>0</v>
      </c>
    </row>
    <row r="186" spans="1:6" ht="12">
      <c r="A186" s="189">
        <v>140414</v>
      </c>
      <c r="B186" s="147" t="s">
        <v>599</v>
      </c>
      <c r="C186" s="175">
        <v>214325843</v>
      </c>
      <c r="D186" s="147" t="s">
        <v>778</v>
      </c>
      <c r="E186" s="121">
        <v>492</v>
      </c>
      <c r="F186" s="120">
        <v>0</v>
      </c>
    </row>
    <row r="187" spans="1:6" ht="12">
      <c r="A187" s="189">
        <v>140414</v>
      </c>
      <c r="B187" s="147" t="s">
        <v>599</v>
      </c>
      <c r="C187" s="147">
        <v>214354743</v>
      </c>
      <c r="D187" s="147" t="s">
        <v>779</v>
      </c>
      <c r="E187" s="121">
        <v>96</v>
      </c>
      <c r="F187" s="120">
        <v>0</v>
      </c>
    </row>
    <row r="188" spans="1:6" ht="12">
      <c r="A188" s="189">
        <v>140414</v>
      </c>
      <c r="B188" s="147" t="s">
        <v>599</v>
      </c>
      <c r="C188" s="175">
        <v>214373043</v>
      </c>
      <c r="D188" s="147" t="s">
        <v>780</v>
      </c>
      <c r="E188" s="121">
        <v>18</v>
      </c>
      <c r="F188" s="120">
        <v>0</v>
      </c>
    </row>
    <row r="189" spans="1:6" ht="12">
      <c r="A189" s="189">
        <v>140414</v>
      </c>
      <c r="B189" s="147" t="s">
        <v>599</v>
      </c>
      <c r="C189" s="175">
        <v>214413744</v>
      </c>
      <c r="D189" s="147" t="s">
        <v>781</v>
      </c>
      <c r="E189" s="121">
        <v>142</v>
      </c>
      <c r="F189" s="120">
        <v>0</v>
      </c>
    </row>
    <row r="190" spans="1:6" ht="12">
      <c r="A190" s="189">
        <v>140414</v>
      </c>
      <c r="B190" s="147" t="s">
        <v>599</v>
      </c>
      <c r="C190" s="175">
        <v>214441244</v>
      </c>
      <c r="D190" s="147" t="s">
        <v>782</v>
      </c>
      <c r="E190" s="121">
        <v>73</v>
      </c>
      <c r="F190" s="120">
        <v>0</v>
      </c>
    </row>
    <row r="191" spans="1:6" ht="12">
      <c r="A191" s="189">
        <v>140414</v>
      </c>
      <c r="B191" s="147" t="s">
        <v>599</v>
      </c>
      <c r="C191" s="175">
        <v>214468344</v>
      </c>
      <c r="D191" s="147" t="s">
        <v>783</v>
      </c>
      <c r="E191" s="121">
        <v>79</v>
      </c>
      <c r="F191" s="120">
        <v>0</v>
      </c>
    </row>
    <row r="192" spans="1:6" ht="12">
      <c r="A192" s="189">
        <v>140414</v>
      </c>
      <c r="B192" s="147" t="s">
        <v>599</v>
      </c>
      <c r="C192" s="175">
        <v>214519845</v>
      </c>
      <c r="D192" s="147" t="s">
        <v>784</v>
      </c>
      <c r="E192" s="121">
        <v>285</v>
      </c>
      <c r="F192" s="120">
        <v>0</v>
      </c>
    </row>
    <row r="193" spans="1:6" ht="12">
      <c r="A193" s="189">
        <v>140414</v>
      </c>
      <c r="B193" s="147" t="s">
        <v>599</v>
      </c>
      <c r="C193" s="175">
        <v>214525245</v>
      </c>
      <c r="D193" s="147" t="s">
        <v>785</v>
      </c>
      <c r="E193" s="121">
        <v>6</v>
      </c>
      <c r="F193" s="120">
        <v>0</v>
      </c>
    </row>
    <row r="194" spans="1:6" ht="12">
      <c r="A194" s="189">
        <v>140414</v>
      </c>
      <c r="B194" s="147" t="s">
        <v>599</v>
      </c>
      <c r="C194" s="175">
        <v>214525745</v>
      </c>
      <c r="D194" s="147" t="s">
        <v>786</v>
      </c>
      <c r="E194" s="121">
        <v>235</v>
      </c>
      <c r="F194" s="120">
        <v>0</v>
      </c>
    </row>
    <row r="195" spans="1:6" ht="24">
      <c r="A195" s="189">
        <v>140414</v>
      </c>
      <c r="B195" s="147" t="s">
        <v>599</v>
      </c>
      <c r="C195" s="175">
        <v>214527245</v>
      </c>
      <c r="D195" s="147" t="s">
        <v>787</v>
      </c>
      <c r="E195" s="121">
        <v>62</v>
      </c>
      <c r="F195" s="120">
        <v>0</v>
      </c>
    </row>
    <row r="196" spans="1:6" ht="12">
      <c r="A196" s="189">
        <v>140414</v>
      </c>
      <c r="B196" s="147" t="s">
        <v>599</v>
      </c>
      <c r="C196" s="175">
        <v>214554245</v>
      </c>
      <c r="D196" s="147" t="s">
        <v>788</v>
      </c>
      <c r="E196" s="121">
        <v>243</v>
      </c>
      <c r="F196" s="120">
        <v>0</v>
      </c>
    </row>
    <row r="197" spans="1:6" ht="12">
      <c r="A197" s="189">
        <v>140414</v>
      </c>
      <c r="B197" s="147" t="s">
        <v>599</v>
      </c>
      <c r="C197" s="175">
        <v>214566045</v>
      </c>
      <c r="D197" s="147" t="s">
        <v>789</v>
      </c>
      <c r="E197" s="121">
        <v>194</v>
      </c>
      <c r="F197" s="120">
        <v>0</v>
      </c>
    </row>
    <row r="198" spans="1:6" ht="12">
      <c r="A198" s="189">
        <v>140414</v>
      </c>
      <c r="B198" s="147" t="s">
        <v>599</v>
      </c>
      <c r="C198" s="175">
        <v>214676246</v>
      </c>
      <c r="D198" s="147" t="s">
        <v>790</v>
      </c>
      <c r="E198" s="121">
        <v>144</v>
      </c>
      <c r="F198" s="120">
        <v>0</v>
      </c>
    </row>
    <row r="199" spans="1:6" ht="12">
      <c r="A199" s="189">
        <v>140414</v>
      </c>
      <c r="B199" s="147" t="s">
        <v>599</v>
      </c>
      <c r="C199" s="175">
        <v>214768147</v>
      </c>
      <c r="D199" s="147" t="s">
        <v>791</v>
      </c>
      <c r="E199" s="121">
        <v>32</v>
      </c>
      <c r="F199" s="120">
        <v>0</v>
      </c>
    </row>
    <row r="200" spans="1:6" ht="12">
      <c r="A200" s="189">
        <v>140414</v>
      </c>
      <c r="B200" s="147" t="s">
        <v>599</v>
      </c>
      <c r="C200" s="175">
        <v>214815248</v>
      </c>
      <c r="D200" s="147" t="s">
        <v>792</v>
      </c>
      <c r="E200" s="121">
        <v>110</v>
      </c>
      <c r="F200" s="120">
        <v>0</v>
      </c>
    </row>
    <row r="201" spans="1:6" ht="12">
      <c r="A201" s="189">
        <v>140414</v>
      </c>
      <c r="B201" s="147" t="s">
        <v>599</v>
      </c>
      <c r="C201" s="175">
        <v>214841548</v>
      </c>
      <c r="D201" s="147" t="s">
        <v>793</v>
      </c>
      <c r="E201" s="121">
        <v>116</v>
      </c>
      <c r="F201" s="120">
        <v>0</v>
      </c>
    </row>
    <row r="202" spans="1:6" ht="24">
      <c r="A202" s="189">
        <v>140414</v>
      </c>
      <c r="B202" s="147" t="s">
        <v>599</v>
      </c>
      <c r="C202" s="175">
        <v>214873148</v>
      </c>
      <c r="D202" s="147" t="s">
        <v>794</v>
      </c>
      <c r="E202" s="121">
        <v>6</v>
      </c>
      <c r="F202" s="120">
        <v>0</v>
      </c>
    </row>
    <row r="203" spans="1:6" ht="12">
      <c r="A203" s="189">
        <v>140414</v>
      </c>
      <c r="B203" s="147" t="s">
        <v>599</v>
      </c>
      <c r="C203" s="175">
        <v>214876248</v>
      </c>
      <c r="D203" s="147" t="s">
        <v>795</v>
      </c>
      <c r="E203" s="121">
        <v>86</v>
      </c>
      <c r="F203" s="120">
        <v>0</v>
      </c>
    </row>
    <row r="204" spans="1:6" ht="24">
      <c r="A204" s="189">
        <v>140414</v>
      </c>
      <c r="B204" s="147" t="s">
        <v>599</v>
      </c>
      <c r="C204" s="175">
        <v>214925649</v>
      </c>
      <c r="D204" s="147" t="s">
        <v>796</v>
      </c>
      <c r="E204" s="121">
        <v>198</v>
      </c>
      <c r="F204" s="120">
        <v>0</v>
      </c>
    </row>
    <row r="205" spans="1:6" ht="12">
      <c r="A205" s="189">
        <v>140414</v>
      </c>
      <c r="B205" s="147" t="s">
        <v>599</v>
      </c>
      <c r="C205" s="175">
        <v>214973349</v>
      </c>
      <c r="D205" s="147" t="s">
        <v>797</v>
      </c>
      <c r="E205" s="121">
        <v>666</v>
      </c>
      <c r="F205" s="120">
        <v>0</v>
      </c>
    </row>
    <row r="206" spans="1:6" ht="12">
      <c r="A206" s="189">
        <v>140414</v>
      </c>
      <c r="B206" s="147" t="s">
        <v>599</v>
      </c>
      <c r="C206" s="175">
        <v>214973449</v>
      </c>
      <c r="D206" s="147" t="s">
        <v>798</v>
      </c>
      <c r="E206" s="121">
        <v>32</v>
      </c>
      <c r="F206" s="120">
        <v>0</v>
      </c>
    </row>
    <row r="207" spans="1:6" ht="12">
      <c r="A207" s="189">
        <v>140414</v>
      </c>
      <c r="B207" s="147" t="s">
        <v>599</v>
      </c>
      <c r="C207" s="175">
        <v>215015550</v>
      </c>
      <c r="D207" s="147" t="s">
        <v>799</v>
      </c>
      <c r="E207" s="121">
        <v>54</v>
      </c>
      <c r="F207" s="120">
        <v>0</v>
      </c>
    </row>
    <row r="208" spans="1:6" ht="24">
      <c r="A208" s="189">
        <v>140414</v>
      </c>
      <c r="B208" s="147" t="s">
        <v>599</v>
      </c>
      <c r="C208" s="175">
        <v>215018150</v>
      </c>
      <c r="D208" s="147" t="s">
        <v>800</v>
      </c>
      <c r="E208" s="121">
        <v>176</v>
      </c>
      <c r="F208" s="120">
        <v>0</v>
      </c>
    </row>
    <row r="209" spans="1:6" ht="12">
      <c r="A209" s="189">
        <v>140414</v>
      </c>
      <c r="B209" s="147" t="s">
        <v>599</v>
      </c>
      <c r="C209" s="175">
        <v>215020550</v>
      </c>
      <c r="D209" s="147" t="s">
        <v>801</v>
      </c>
      <c r="E209" s="121">
        <v>210</v>
      </c>
      <c r="F209" s="120">
        <v>0</v>
      </c>
    </row>
    <row r="210" spans="1:6" ht="12">
      <c r="A210" s="189">
        <v>140414</v>
      </c>
      <c r="B210" s="147" t="s">
        <v>599</v>
      </c>
      <c r="C210" s="175">
        <v>215023350</v>
      </c>
      <c r="D210" s="147" t="s">
        <v>802</v>
      </c>
      <c r="E210" s="121">
        <v>42</v>
      </c>
      <c r="F210" s="120">
        <v>0</v>
      </c>
    </row>
    <row r="211" spans="1:6" ht="24">
      <c r="A211" s="189">
        <v>140414</v>
      </c>
      <c r="B211" s="147" t="s">
        <v>599</v>
      </c>
      <c r="C211" s="175">
        <v>215050150</v>
      </c>
      <c r="D211" s="147" t="s">
        <v>803</v>
      </c>
      <c r="E211" s="121">
        <v>37</v>
      </c>
      <c r="F211" s="120">
        <v>0</v>
      </c>
    </row>
    <row r="212" spans="1:6" ht="24">
      <c r="A212" s="189">
        <v>140414</v>
      </c>
      <c r="B212" s="147" t="s">
        <v>599</v>
      </c>
      <c r="C212" s="175">
        <v>215050450</v>
      </c>
      <c r="D212" s="147" t="s">
        <v>804</v>
      </c>
      <c r="E212" s="121">
        <v>20</v>
      </c>
      <c r="F212" s="120">
        <v>0</v>
      </c>
    </row>
    <row r="213" spans="1:6" ht="24">
      <c r="A213" s="189">
        <v>140414</v>
      </c>
      <c r="B213" s="147" t="s">
        <v>599</v>
      </c>
      <c r="C213" s="147">
        <v>215068250</v>
      </c>
      <c r="D213" s="147" t="s">
        <v>805</v>
      </c>
      <c r="E213" s="121">
        <v>110</v>
      </c>
      <c r="F213" s="120">
        <v>0</v>
      </c>
    </row>
    <row r="214" spans="1:6" ht="12">
      <c r="A214" s="189">
        <v>140414</v>
      </c>
      <c r="B214" s="147" t="s">
        <v>599</v>
      </c>
      <c r="C214" s="175">
        <v>215125151</v>
      </c>
      <c r="D214" s="147" t="s">
        <v>806</v>
      </c>
      <c r="E214" s="121">
        <v>396</v>
      </c>
      <c r="F214" s="120">
        <v>0</v>
      </c>
    </row>
    <row r="215" spans="1:6" ht="12">
      <c r="A215" s="189">
        <v>140414</v>
      </c>
      <c r="B215" s="147" t="s">
        <v>599</v>
      </c>
      <c r="C215" s="175">
        <v>215141551</v>
      </c>
      <c r="D215" s="147" t="s">
        <v>807</v>
      </c>
      <c r="E215" s="121">
        <v>45</v>
      </c>
      <c r="F215" s="120">
        <v>0</v>
      </c>
    </row>
    <row r="216" spans="1:6" ht="12">
      <c r="A216" s="189">
        <v>140414</v>
      </c>
      <c r="B216" s="147" t="s">
        <v>599</v>
      </c>
      <c r="C216" s="175">
        <v>215150251</v>
      </c>
      <c r="D216" s="147" t="s">
        <v>808</v>
      </c>
      <c r="E216" s="121">
        <v>267</v>
      </c>
      <c r="F216" s="120">
        <v>0</v>
      </c>
    </row>
    <row r="217" spans="1:6" ht="12">
      <c r="A217" s="189">
        <v>140414</v>
      </c>
      <c r="B217" s="147" t="s">
        <v>599</v>
      </c>
      <c r="C217" s="175">
        <v>215213052</v>
      </c>
      <c r="D217" s="147" t="s">
        <v>809</v>
      </c>
      <c r="E217" s="121">
        <v>17</v>
      </c>
      <c r="F217" s="120">
        <v>0</v>
      </c>
    </row>
    <row r="218" spans="1:6" ht="12">
      <c r="A218" s="189">
        <v>140414</v>
      </c>
      <c r="B218" s="147" t="s">
        <v>599</v>
      </c>
      <c r="C218" s="175">
        <v>215273152</v>
      </c>
      <c r="D218" s="147" t="s">
        <v>810</v>
      </c>
      <c r="E218" s="121">
        <v>99</v>
      </c>
      <c r="F218" s="120">
        <v>0</v>
      </c>
    </row>
    <row r="219" spans="1:6" ht="12">
      <c r="A219" s="189">
        <v>140414</v>
      </c>
      <c r="B219" s="147" t="s">
        <v>599</v>
      </c>
      <c r="C219" s="175">
        <v>215273352</v>
      </c>
      <c r="D219" s="147" t="s">
        <v>811</v>
      </c>
      <c r="E219" s="121">
        <v>162</v>
      </c>
      <c r="F219" s="120">
        <v>0</v>
      </c>
    </row>
    <row r="220" spans="1:6" ht="12">
      <c r="A220" s="189">
        <v>140414</v>
      </c>
      <c r="B220" s="147" t="s">
        <v>599</v>
      </c>
      <c r="C220" s="147">
        <v>215315753</v>
      </c>
      <c r="D220" s="147" t="s">
        <v>812</v>
      </c>
      <c r="E220" s="121">
        <v>20</v>
      </c>
      <c r="F220" s="120">
        <v>0</v>
      </c>
    </row>
    <row r="221" spans="1:6" ht="12">
      <c r="A221" s="189">
        <v>140414</v>
      </c>
      <c r="B221" s="147" t="s">
        <v>599</v>
      </c>
      <c r="C221" s="175">
        <v>215325053</v>
      </c>
      <c r="D221" s="147" t="s">
        <v>813</v>
      </c>
      <c r="E221" s="121">
        <v>284</v>
      </c>
      <c r="F221" s="120">
        <v>0</v>
      </c>
    </row>
    <row r="222" spans="1:6" ht="24">
      <c r="A222" s="189">
        <v>140414</v>
      </c>
      <c r="B222" s="147" t="s">
        <v>599</v>
      </c>
      <c r="C222" s="175">
        <v>215325653</v>
      </c>
      <c r="D222" s="147" t="s">
        <v>814</v>
      </c>
      <c r="E222" s="121">
        <v>139</v>
      </c>
      <c r="F222" s="120">
        <v>0</v>
      </c>
    </row>
    <row r="223" spans="1:6" ht="24">
      <c r="A223" s="189">
        <v>140414</v>
      </c>
      <c r="B223" s="147" t="s">
        <v>599</v>
      </c>
      <c r="C223" s="175">
        <v>215354553</v>
      </c>
      <c r="D223" s="147" t="s">
        <v>815</v>
      </c>
      <c r="E223" s="121">
        <v>9</v>
      </c>
      <c r="F223" s="120">
        <v>0</v>
      </c>
    </row>
    <row r="224" spans="1:6" ht="12">
      <c r="A224" s="189">
        <v>140414</v>
      </c>
      <c r="B224" s="147" t="s">
        <v>599</v>
      </c>
      <c r="C224" s="169" t="s">
        <v>816</v>
      </c>
      <c r="D224" s="147" t="s">
        <v>817</v>
      </c>
      <c r="E224" s="121">
        <v>30</v>
      </c>
      <c r="F224" s="120">
        <v>0</v>
      </c>
    </row>
    <row r="225" spans="1:6" ht="24">
      <c r="A225" s="189">
        <v>140414</v>
      </c>
      <c r="B225" s="147" t="s">
        <v>599</v>
      </c>
      <c r="C225" s="175">
        <v>215425154</v>
      </c>
      <c r="D225" s="147" t="s">
        <v>818</v>
      </c>
      <c r="E225" s="121">
        <v>167</v>
      </c>
      <c r="F225" s="120">
        <v>0</v>
      </c>
    </row>
    <row r="226" spans="1:6" ht="12">
      <c r="A226" s="189">
        <v>140414</v>
      </c>
      <c r="B226" s="147" t="s">
        <v>599</v>
      </c>
      <c r="C226" s="175">
        <v>215425754</v>
      </c>
      <c r="D226" s="147" t="s">
        <v>819</v>
      </c>
      <c r="E226" s="121">
        <v>354</v>
      </c>
      <c r="F226" s="120">
        <v>0</v>
      </c>
    </row>
    <row r="227" spans="1:6" ht="12">
      <c r="A227" s="189">
        <v>140414</v>
      </c>
      <c r="B227" s="147" t="s">
        <v>599</v>
      </c>
      <c r="C227" s="175">
        <v>215476054</v>
      </c>
      <c r="D227" s="147" t="s">
        <v>820</v>
      </c>
      <c r="E227" s="121">
        <v>420</v>
      </c>
      <c r="F227" s="120">
        <v>0</v>
      </c>
    </row>
    <row r="228" spans="1:6" ht="24">
      <c r="A228" s="189">
        <v>140414</v>
      </c>
      <c r="B228" s="147" t="s">
        <v>599</v>
      </c>
      <c r="C228" s="168">
        <v>215505055</v>
      </c>
      <c r="D228" s="147" t="s">
        <v>821</v>
      </c>
      <c r="E228" s="121">
        <v>131</v>
      </c>
      <c r="F228" s="120">
        <v>0</v>
      </c>
    </row>
    <row r="229" spans="1:6" ht="12">
      <c r="A229" s="189">
        <v>140414</v>
      </c>
      <c r="B229" s="147" t="s">
        <v>599</v>
      </c>
      <c r="C229" s="175">
        <v>215519355</v>
      </c>
      <c r="D229" s="147" t="s">
        <v>822</v>
      </c>
      <c r="E229" s="121">
        <v>178</v>
      </c>
      <c r="F229" s="120">
        <v>0</v>
      </c>
    </row>
    <row r="230" spans="1:6" ht="12">
      <c r="A230" s="189">
        <v>140414</v>
      </c>
      <c r="B230" s="147" t="s">
        <v>599</v>
      </c>
      <c r="C230" s="175">
        <v>215523555</v>
      </c>
      <c r="D230" s="147" t="s">
        <v>823</v>
      </c>
      <c r="E230" s="121">
        <v>859</v>
      </c>
      <c r="F230" s="120">
        <v>0</v>
      </c>
    </row>
    <row r="231" spans="1:6" ht="24">
      <c r="A231" s="189">
        <v>140414</v>
      </c>
      <c r="B231" s="147" t="s">
        <v>599</v>
      </c>
      <c r="C231" s="175">
        <v>215568855</v>
      </c>
      <c r="D231" s="147" t="s">
        <v>824</v>
      </c>
      <c r="E231" s="121">
        <v>156</v>
      </c>
      <c r="F231" s="120">
        <v>0</v>
      </c>
    </row>
    <row r="232" spans="1:6" ht="12">
      <c r="A232" s="189">
        <v>140414</v>
      </c>
      <c r="B232" s="147" t="s">
        <v>599</v>
      </c>
      <c r="C232" s="175">
        <v>215618256</v>
      </c>
      <c r="D232" s="147" t="s">
        <v>825</v>
      </c>
      <c r="E232" s="121">
        <v>21</v>
      </c>
      <c r="F232" s="120">
        <v>0</v>
      </c>
    </row>
    <row r="233" spans="1:6" ht="24">
      <c r="A233" s="189">
        <v>140414</v>
      </c>
      <c r="B233" s="147" t="s">
        <v>599</v>
      </c>
      <c r="C233" s="175">
        <v>215619256</v>
      </c>
      <c r="D233" s="147" t="s">
        <v>826</v>
      </c>
      <c r="E233" s="121">
        <v>321</v>
      </c>
      <c r="F233" s="120">
        <v>0</v>
      </c>
    </row>
    <row r="234" spans="1:6" ht="12">
      <c r="A234" s="189">
        <v>140414</v>
      </c>
      <c r="B234" s="147" t="s">
        <v>599</v>
      </c>
      <c r="C234" s="147">
        <v>215666456</v>
      </c>
      <c r="D234" s="147" t="s">
        <v>827</v>
      </c>
      <c r="E234" s="121">
        <v>24</v>
      </c>
      <c r="F234" s="120">
        <v>0</v>
      </c>
    </row>
    <row r="235" spans="1:6" ht="24">
      <c r="A235" s="189">
        <v>140414</v>
      </c>
      <c r="B235" s="147" t="s">
        <v>599</v>
      </c>
      <c r="C235" s="175">
        <v>215713657</v>
      </c>
      <c r="D235" s="147" t="s">
        <v>828</v>
      </c>
      <c r="E235" s="121">
        <v>9</v>
      </c>
      <c r="F235" s="120">
        <v>0</v>
      </c>
    </row>
    <row r="236" spans="1:6" ht="12">
      <c r="A236" s="189">
        <v>140414</v>
      </c>
      <c r="B236" s="147" t="s">
        <v>599</v>
      </c>
      <c r="C236" s="147">
        <v>215741357</v>
      </c>
      <c r="D236" s="147" t="s">
        <v>829</v>
      </c>
      <c r="E236" s="121">
        <v>112</v>
      </c>
      <c r="F236" s="120">
        <v>0</v>
      </c>
    </row>
    <row r="237" spans="1:6" ht="12">
      <c r="A237" s="189">
        <v>140414</v>
      </c>
      <c r="B237" s="147" t="s">
        <v>599</v>
      </c>
      <c r="C237" s="175">
        <v>215808558</v>
      </c>
      <c r="D237" s="147" t="s">
        <v>830</v>
      </c>
      <c r="E237" s="121">
        <v>111</v>
      </c>
      <c r="F237" s="120">
        <v>0</v>
      </c>
    </row>
    <row r="238" spans="1:6" ht="12">
      <c r="A238" s="189">
        <v>140414</v>
      </c>
      <c r="B238" s="147" t="s">
        <v>599</v>
      </c>
      <c r="C238" s="175">
        <v>215808758</v>
      </c>
      <c r="D238" s="147" t="s">
        <v>831</v>
      </c>
      <c r="E238" s="121">
        <v>40</v>
      </c>
      <c r="F238" s="120">
        <v>0</v>
      </c>
    </row>
    <row r="239" spans="1:6" ht="24">
      <c r="A239" s="189">
        <v>140414</v>
      </c>
      <c r="B239" s="147" t="s">
        <v>599</v>
      </c>
      <c r="C239" s="175">
        <v>215825658</v>
      </c>
      <c r="D239" s="147" t="s">
        <v>832</v>
      </c>
      <c r="E239" s="121">
        <v>226</v>
      </c>
      <c r="F239" s="120">
        <v>0</v>
      </c>
    </row>
    <row r="240" spans="1:6" ht="12">
      <c r="A240" s="189">
        <v>140414</v>
      </c>
      <c r="B240" s="147" t="s">
        <v>599</v>
      </c>
      <c r="C240" s="175">
        <v>215825758</v>
      </c>
      <c r="D240" s="147" t="s">
        <v>833</v>
      </c>
      <c r="E240" s="121">
        <v>60</v>
      </c>
      <c r="F240" s="120">
        <v>0</v>
      </c>
    </row>
    <row r="241" spans="1:6" ht="12">
      <c r="A241" s="189">
        <v>140414</v>
      </c>
      <c r="B241" s="147" t="s">
        <v>599</v>
      </c>
      <c r="C241" s="175">
        <v>215915759</v>
      </c>
      <c r="D241" s="147" t="s">
        <v>834</v>
      </c>
      <c r="E241" s="121">
        <v>129</v>
      </c>
      <c r="F241" s="120">
        <v>0</v>
      </c>
    </row>
    <row r="242" spans="1:6" ht="12">
      <c r="A242" s="189">
        <v>140414</v>
      </c>
      <c r="B242" s="147" t="s">
        <v>599</v>
      </c>
      <c r="C242" s="175">
        <v>216015660</v>
      </c>
      <c r="D242" s="147" t="s">
        <v>835</v>
      </c>
      <c r="E242" s="121">
        <v>118</v>
      </c>
      <c r="F242" s="120">
        <v>0</v>
      </c>
    </row>
    <row r="243" spans="1:6" ht="12">
      <c r="A243" s="189">
        <v>140414</v>
      </c>
      <c r="B243" s="147" t="s">
        <v>599</v>
      </c>
      <c r="C243" s="175">
        <v>216018460</v>
      </c>
      <c r="D243" s="147" t="s">
        <v>836</v>
      </c>
      <c r="E243" s="121">
        <v>32</v>
      </c>
      <c r="F243" s="120">
        <v>0</v>
      </c>
    </row>
    <row r="244" spans="1:6" ht="12">
      <c r="A244" s="189">
        <v>140414</v>
      </c>
      <c r="B244" s="147" t="s">
        <v>599</v>
      </c>
      <c r="C244" s="175">
        <v>216019760</v>
      </c>
      <c r="D244" s="147" t="s">
        <v>837</v>
      </c>
      <c r="E244" s="121">
        <v>238</v>
      </c>
      <c r="F244" s="120">
        <v>0</v>
      </c>
    </row>
    <row r="245" spans="1:6" ht="12">
      <c r="A245" s="189">
        <v>140414</v>
      </c>
      <c r="B245" s="147" t="s">
        <v>599</v>
      </c>
      <c r="C245" s="175">
        <v>216023660</v>
      </c>
      <c r="D245" s="147" t="s">
        <v>838</v>
      </c>
      <c r="E245" s="121">
        <v>68</v>
      </c>
      <c r="F245" s="120">
        <v>0</v>
      </c>
    </row>
    <row r="246" spans="1:6" ht="12">
      <c r="A246" s="189">
        <v>140414</v>
      </c>
      <c r="B246" s="147" t="s">
        <v>599</v>
      </c>
      <c r="C246" s="175">
        <v>216025260</v>
      </c>
      <c r="D246" s="147" t="s">
        <v>839</v>
      </c>
      <c r="E246" s="121">
        <v>8</v>
      </c>
      <c r="F246" s="120">
        <v>0</v>
      </c>
    </row>
    <row r="247" spans="1:6" ht="24">
      <c r="A247" s="189">
        <v>140414</v>
      </c>
      <c r="B247" s="147" t="s">
        <v>599</v>
      </c>
      <c r="C247" s="175">
        <v>216027660</v>
      </c>
      <c r="D247" s="147" t="s">
        <v>840</v>
      </c>
      <c r="E247" s="121">
        <v>109</v>
      </c>
      <c r="F247" s="120">
        <v>0</v>
      </c>
    </row>
    <row r="248" spans="1:6" ht="24">
      <c r="A248" s="189">
        <v>140414</v>
      </c>
      <c r="B248" s="147" t="s">
        <v>599</v>
      </c>
      <c r="C248" s="175">
        <v>216041660</v>
      </c>
      <c r="D248" s="147" t="s">
        <v>841</v>
      </c>
      <c r="E248" s="121">
        <v>99</v>
      </c>
      <c r="F248" s="120">
        <v>0</v>
      </c>
    </row>
    <row r="249" spans="1:6" ht="24">
      <c r="A249" s="189">
        <v>140414</v>
      </c>
      <c r="B249" s="147" t="s">
        <v>599</v>
      </c>
      <c r="C249" s="175">
        <v>216047660</v>
      </c>
      <c r="D249" s="147" t="s">
        <v>842</v>
      </c>
      <c r="E249" s="121">
        <v>156</v>
      </c>
      <c r="F249" s="120">
        <v>0</v>
      </c>
    </row>
    <row r="250" spans="1:6" ht="12">
      <c r="A250" s="189">
        <v>140414</v>
      </c>
      <c r="B250" s="147" t="s">
        <v>599</v>
      </c>
      <c r="C250" s="175">
        <v>216127361</v>
      </c>
      <c r="D250" s="147" t="s">
        <v>843</v>
      </c>
      <c r="E250" s="121">
        <v>210</v>
      </c>
      <c r="F250" s="120">
        <v>0</v>
      </c>
    </row>
    <row r="251" spans="1:6" ht="12">
      <c r="A251" s="189">
        <v>140414</v>
      </c>
      <c r="B251" s="147" t="s">
        <v>599</v>
      </c>
      <c r="C251" s="175">
        <v>216168861</v>
      </c>
      <c r="D251" s="147" t="s">
        <v>844</v>
      </c>
      <c r="E251" s="121">
        <v>462</v>
      </c>
      <c r="F251" s="120">
        <v>0</v>
      </c>
    </row>
    <row r="252" spans="1:6" ht="12">
      <c r="A252" s="189">
        <v>140414</v>
      </c>
      <c r="B252" s="147" t="s">
        <v>599</v>
      </c>
      <c r="C252" s="175">
        <v>216223162</v>
      </c>
      <c r="D252" s="147" t="s">
        <v>845</v>
      </c>
      <c r="E252" s="121">
        <v>56</v>
      </c>
      <c r="F252" s="120">
        <v>0</v>
      </c>
    </row>
    <row r="253" spans="1:6" ht="12">
      <c r="A253" s="189">
        <v>140414</v>
      </c>
      <c r="B253" s="147" t="s">
        <v>599</v>
      </c>
      <c r="C253" s="175">
        <v>216225862</v>
      </c>
      <c r="D253" s="147" t="s">
        <v>846</v>
      </c>
      <c r="E253" s="121">
        <v>129</v>
      </c>
      <c r="F253" s="120">
        <v>0</v>
      </c>
    </row>
    <row r="254" spans="1:6" ht="12">
      <c r="A254" s="189">
        <v>140414</v>
      </c>
      <c r="B254" s="147" t="s">
        <v>599</v>
      </c>
      <c r="C254" s="175">
        <v>216285162</v>
      </c>
      <c r="D254" s="147" t="s">
        <v>847</v>
      </c>
      <c r="E254" s="121">
        <v>483</v>
      </c>
      <c r="F254" s="120">
        <v>0</v>
      </c>
    </row>
    <row r="255" spans="1:6" ht="12">
      <c r="A255" s="189">
        <v>140414</v>
      </c>
      <c r="B255" s="147" t="s">
        <v>599</v>
      </c>
      <c r="C255" s="175">
        <v>216373563</v>
      </c>
      <c r="D255" s="147" t="s">
        <v>848</v>
      </c>
      <c r="E255" s="121">
        <v>174</v>
      </c>
      <c r="F255" s="120">
        <v>0</v>
      </c>
    </row>
    <row r="256" spans="1:6" ht="24">
      <c r="A256" s="189">
        <v>140414</v>
      </c>
      <c r="B256" s="147" t="s">
        <v>599</v>
      </c>
      <c r="C256" s="175">
        <v>216586865</v>
      </c>
      <c r="D256" s="147" t="s">
        <v>849</v>
      </c>
      <c r="E256" s="121">
        <v>409</v>
      </c>
      <c r="F256" s="120">
        <v>0</v>
      </c>
    </row>
    <row r="257" spans="1:6" ht="12">
      <c r="A257" s="189">
        <v>140414</v>
      </c>
      <c r="B257" s="147" t="s">
        <v>599</v>
      </c>
      <c r="C257" s="175">
        <v>216715367</v>
      </c>
      <c r="D257" s="147" t="s">
        <v>850</v>
      </c>
      <c r="E257" s="121">
        <v>26</v>
      </c>
      <c r="F257" s="120">
        <v>0</v>
      </c>
    </row>
    <row r="258" spans="1:6" ht="24">
      <c r="A258" s="189">
        <v>140414</v>
      </c>
      <c r="B258" s="147" t="s">
        <v>599</v>
      </c>
      <c r="C258" s="175">
        <v>216815368</v>
      </c>
      <c r="D258" s="147" t="s">
        <v>851</v>
      </c>
      <c r="E258" s="121">
        <v>128</v>
      </c>
      <c r="F258" s="120">
        <v>0</v>
      </c>
    </row>
    <row r="259" spans="1:6" ht="12">
      <c r="A259" s="189">
        <v>140414</v>
      </c>
      <c r="B259" s="147" t="s">
        <v>599</v>
      </c>
      <c r="C259" s="175">
        <v>216823068</v>
      </c>
      <c r="D259" s="147" t="s">
        <v>852</v>
      </c>
      <c r="E259" s="121">
        <v>61</v>
      </c>
      <c r="F259" s="120">
        <v>0</v>
      </c>
    </row>
    <row r="260" spans="1:6" ht="12">
      <c r="A260" s="189">
        <v>140414</v>
      </c>
      <c r="B260" s="147" t="s">
        <v>599</v>
      </c>
      <c r="C260" s="175">
        <v>216825168</v>
      </c>
      <c r="D260" s="147" t="s">
        <v>853</v>
      </c>
      <c r="E260" s="121">
        <v>322</v>
      </c>
      <c r="F260" s="120">
        <v>0</v>
      </c>
    </row>
    <row r="261" spans="1:6" ht="12">
      <c r="A261" s="189">
        <v>140414</v>
      </c>
      <c r="B261" s="147" t="s">
        <v>599</v>
      </c>
      <c r="C261" s="175">
        <v>216825368</v>
      </c>
      <c r="D261" s="147" t="s">
        <v>854</v>
      </c>
      <c r="E261" s="121">
        <v>123</v>
      </c>
      <c r="F261" s="120">
        <v>0</v>
      </c>
    </row>
    <row r="262" spans="1:6" ht="24">
      <c r="A262" s="189">
        <v>140414</v>
      </c>
      <c r="B262" s="147" t="s">
        <v>599</v>
      </c>
      <c r="C262" s="175">
        <v>216850568</v>
      </c>
      <c r="D262" s="147" t="s">
        <v>855</v>
      </c>
      <c r="E262" s="121">
        <v>268</v>
      </c>
      <c r="F262" s="120">
        <v>0</v>
      </c>
    </row>
    <row r="263" spans="1:6" ht="12">
      <c r="A263" s="189">
        <v>140414</v>
      </c>
      <c r="B263" s="147" t="s">
        <v>599</v>
      </c>
      <c r="C263" s="175">
        <v>216968169</v>
      </c>
      <c r="D263" s="147" t="s">
        <v>856</v>
      </c>
      <c r="E263" s="121">
        <v>92</v>
      </c>
      <c r="F263" s="120">
        <v>0</v>
      </c>
    </row>
    <row r="264" spans="1:6" ht="24">
      <c r="A264" s="189">
        <v>140414</v>
      </c>
      <c r="B264" s="147" t="s">
        <v>599</v>
      </c>
      <c r="C264" s="175">
        <v>216968669</v>
      </c>
      <c r="D264" s="147" t="s">
        <v>857</v>
      </c>
      <c r="E264" s="121">
        <v>255</v>
      </c>
      <c r="F264" s="120">
        <v>0</v>
      </c>
    </row>
    <row r="265" spans="1:6" ht="12">
      <c r="A265" s="189">
        <v>140414</v>
      </c>
      <c r="B265" s="147" t="s">
        <v>599</v>
      </c>
      <c r="C265" s="175">
        <v>217005670</v>
      </c>
      <c r="D265" s="147" t="s">
        <v>858</v>
      </c>
      <c r="E265" s="121">
        <v>332</v>
      </c>
      <c r="F265" s="120">
        <v>0</v>
      </c>
    </row>
    <row r="266" spans="1:6" ht="12">
      <c r="A266" s="189">
        <v>140414</v>
      </c>
      <c r="B266" s="147" t="s">
        <v>599</v>
      </c>
      <c r="C266" s="175">
        <v>217008770</v>
      </c>
      <c r="D266" s="147" t="s">
        <v>859</v>
      </c>
      <c r="E266" s="121">
        <v>27</v>
      </c>
      <c r="F266" s="120">
        <v>0</v>
      </c>
    </row>
    <row r="267" spans="1:6" ht="24">
      <c r="A267" s="189">
        <v>140414</v>
      </c>
      <c r="B267" s="147" t="s">
        <v>599</v>
      </c>
      <c r="C267" s="175">
        <v>217050270</v>
      </c>
      <c r="D267" s="147" t="s">
        <v>860</v>
      </c>
      <c r="E267" s="121">
        <v>24</v>
      </c>
      <c r="F267" s="120">
        <v>0</v>
      </c>
    </row>
    <row r="268" spans="1:6" ht="12">
      <c r="A268" s="189">
        <v>140414</v>
      </c>
      <c r="B268" s="147" t="s">
        <v>599</v>
      </c>
      <c r="C268" s="175">
        <v>217050370</v>
      </c>
      <c r="D268" s="147" t="s">
        <v>861</v>
      </c>
      <c r="E268" s="121">
        <v>19</v>
      </c>
      <c r="F268" s="120">
        <v>0</v>
      </c>
    </row>
    <row r="269" spans="1:6" ht="12">
      <c r="A269" s="189">
        <v>140414</v>
      </c>
      <c r="B269" s="147" t="s">
        <v>599</v>
      </c>
      <c r="C269" s="175">
        <v>217054670</v>
      </c>
      <c r="D269" s="147" t="s">
        <v>862</v>
      </c>
      <c r="E269" s="121">
        <v>21</v>
      </c>
      <c r="F269" s="120">
        <v>0</v>
      </c>
    </row>
    <row r="270" spans="1:6" ht="24">
      <c r="A270" s="189">
        <v>140414</v>
      </c>
      <c r="B270" s="147" t="s">
        <v>599</v>
      </c>
      <c r="C270" s="175">
        <v>217066170</v>
      </c>
      <c r="D270" s="147" t="s">
        <v>863</v>
      </c>
      <c r="E270" s="121">
        <v>621</v>
      </c>
      <c r="F270" s="120">
        <v>0</v>
      </c>
    </row>
    <row r="271" spans="1:6" ht="12">
      <c r="A271" s="189">
        <v>140414</v>
      </c>
      <c r="B271" s="147" t="s">
        <v>599</v>
      </c>
      <c r="C271" s="175">
        <v>217073270</v>
      </c>
      <c r="D271" s="147" t="s">
        <v>864</v>
      </c>
      <c r="E271" s="121">
        <v>26</v>
      </c>
      <c r="F271" s="120">
        <v>0</v>
      </c>
    </row>
    <row r="272" spans="1:6" ht="24">
      <c r="A272" s="189">
        <v>140414</v>
      </c>
      <c r="B272" s="147" t="s">
        <v>599</v>
      </c>
      <c r="C272" s="147">
        <v>217073770</v>
      </c>
      <c r="D272" s="147" t="s">
        <v>865</v>
      </c>
      <c r="E272" s="121">
        <v>24</v>
      </c>
      <c r="F272" s="120">
        <v>0</v>
      </c>
    </row>
    <row r="273" spans="1:6" ht="12">
      <c r="A273" s="189">
        <v>140414</v>
      </c>
      <c r="B273" s="147" t="s">
        <v>599</v>
      </c>
      <c r="C273" s="175">
        <v>217073870</v>
      </c>
      <c r="D273" s="147" t="s">
        <v>866</v>
      </c>
      <c r="E273" s="121">
        <v>117</v>
      </c>
      <c r="F273" s="120">
        <v>0</v>
      </c>
    </row>
    <row r="274" spans="1:6" ht="12">
      <c r="A274" s="189">
        <v>140414</v>
      </c>
      <c r="B274" s="147" t="s">
        <v>599</v>
      </c>
      <c r="C274" s="175">
        <v>217170771</v>
      </c>
      <c r="D274" s="147" t="s">
        <v>867</v>
      </c>
      <c r="E274" s="121">
        <v>8</v>
      </c>
      <c r="F274" s="120">
        <v>0</v>
      </c>
    </row>
    <row r="275" spans="1:6" ht="12">
      <c r="A275" s="189">
        <v>140414</v>
      </c>
      <c r="B275" s="147" t="s">
        <v>599</v>
      </c>
      <c r="C275" s="175">
        <v>217173671</v>
      </c>
      <c r="D275" s="147" t="s">
        <v>868</v>
      </c>
      <c r="E275" s="121">
        <v>9</v>
      </c>
      <c r="F275" s="120">
        <v>0</v>
      </c>
    </row>
    <row r="276" spans="1:6" ht="12">
      <c r="A276" s="189">
        <v>140414</v>
      </c>
      <c r="B276" s="147" t="s">
        <v>599</v>
      </c>
      <c r="C276" s="175">
        <v>217215172</v>
      </c>
      <c r="D276" s="147" t="s">
        <v>869</v>
      </c>
      <c r="E276" s="121">
        <v>131</v>
      </c>
      <c r="F276" s="120">
        <v>0</v>
      </c>
    </row>
    <row r="277" spans="1:6" ht="24">
      <c r="A277" s="189">
        <v>140414</v>
      </c>
      <c r="B277" s="147" t="s">
        <v>599</v>
      </c>
      <c r="C277" s="175">
        <v>217215572</v>
      </c>
      <c r="D277" s="147" t="s">
        <v>870</v>
      </c>
      <c r="E277" s="121">
        <v>76</v>
      </c>
      <c r="F277" s="120">
        <v>0</v>
      </c>
    </row>
    <row r="278" spans="1:6" ht="12">
      <c r="A278" s="189">
        <v>140414</v>
      </c>
      <c r="B278" s="147" t="s">
        <v>599</v>
      </c>
      <c r="C278" s="175">
        <v>217225372</v>
      </c>
      <c r="D278" s="147" t="s">
        <v>871</v>
      </c>
      <c r="E278" s="121">
        <v>116</v>
      </c>
      <c r="F278" s="120">
        <v>0</v>
      </c>
    </row>
    <row r="279" spans="1:6" ht="24">
      <c r="A279" s="189">
        <v>140414</v>
      </c>
      <c r="B279" s="147" t="s">
        <v>599</v>
      </c>
      <c r="C279" s="175">
        <v>217225572</v>
      </c>
      <c r="D279" s="147" t="s">
        <v>872</v>
      </c>
      <c r="E279" s="121">
        <v>40</v>
      </c>
      <c r="F279" s="120">
        <v>0</v>
      </c>
    </row>
    <row r="280" spans="1:6" ht="12">
      <c r="A280" s="189">
        <v>140414</v>
      </c>
      <c r="B280" s="147" t="s">
        <v>599</v>
      </c>
      <c r="C280" s="175">
        <v>217225772</v>
      </c>
      <c r="D280" s="147" t="s">
        <v>873</v>
      </c>
      <c r="E280" s="121">
        <v>301</v>
      </c>
      <c r="F280" s="120">
        <v>0</v>
      </c>
    </row>
    <row r="281" spans="1:6" ht="12">
      <c r="A281" s="189">
        <v>140414</v>
      </c>
      <c r="B281" s="147" t="s">
        <v>599</v>
      </c>
      <c r="C281" s="175">
        <v>217241872</v>
      </c>
      <c r="D281" s="147" t="s">
        <v>874</v>
      </c>
      <c r="E281" s="121">
        <v>155</v>
      </c>
      <c r="F281" s="120">
        <v>0</v>
      </c>
    </row>
    <row r="282" spans="1:6" ht="12">
      <c r="A282" s="189">
        <v>140414</v>
      </c>
      <c r="B282" s="147" t="s">
        <v>599</v>
      </c>
      <c r="C282" s="175">
        <v>217254172</v>
      </c>
      <c r="D282" s="147" t="s">
        <v>875</v>
      </c>
      <c r="E282" s="121">
        <v>183</v>
      </c>
      <c r="F282" s="120">
        <v>0</v>
      </c>
    </row>
    <row r="283" spans="1:6" ht="12">
      <c r="A283" s="189">
        <v>140414</v>
      </c>
      <c r="B283" s="147" t="s">
        <v>599</v>
      </c>
      <c r="C283" s="175">
        <v>217266572</v>
      </c>
      <c r="D283" s="147" t="s">
        <v>876</v>
      </c>
      <c r="E283" s="121">
        <v>162</v>
      </c>
      <c r="F283" s="120">
        <v>0</v>
      </c>
    </row>
    <row r="284" spans="1:6" ht="24">
      <c r="A284" s="189">
        <v>140414</v>
      </c>
      <c r="B284" s="147" t="s">
        <v>599</v>
      </c>
      <c r="C284" s="175">
        <v>217268872</v>
      </c>
      <c r="D284" s="147" t="s">
        <v>877</v>
      </c>
      <c r="E284" s="121">
        <v>26</v>
      </c>
      <c r="F284" s="120">
        <v>0</v>
      </c>
    </row>
    <row r="285" spans="1:6" ht="24">
      <c r="A285" s="189">
        <v>140414</v>
      </c>
      <c r="B285" s="147" t="s">
        <v>599</v>
      </c>
      <c r="C285" s="175">
        <v>217305873</v>
      </c>
      <c r="D285" s="147" t="s">
        <v>878</v>
      </c>
      <c r="E285" s="121">
        <v>149</v>
      </c>
      <c r="F285" s="120">
        <v>0</v>
      </c>
    </row>
    <row r="286" spans="1:6" ht="12">
      <c r="A286" s="189">
        <v>140414</v>
      </c>
      <c r="B286" s="147" t="s">
        <v>599</v>
      </c>
      <c r="C286" s="175">
        <v>217315673</v>
      </c>
      <c r="D286" s="147" t="s">
        <v>879</v>
      </c>
      <c r="E286" s="121">
        <v>164</v>
      </c>
      <c r="F286" s="120">
        <v>0</v>
      </c>
    </row>
    <row r="287" spans="1:6" ht="24">
      <c r="A287" s="189">
        <v>140414</v>
      </c>
      <c r="B287" s="147" t="s">
        <v>599</v>
      </c>
      <c r="C287" s="175">
        <v>217319473</v>
      </c>
      <c r="D287" s="147" t="s">
        <v>880</v>
      </c>
      <c r="E287" s="121">
        <v>668</v>
      </c>
      <c r="F287" s="120">
        <v>0</v>
      </c>
    </row>
    <row r="288" spans="1:6" ht="24">
      <c r="A288" s="189">
        <v>140414</v>
      </c>
      <c r="B288" s="147" t="s">
        <v>599</v>
      </c>
      <c r="C288" s="175">
        <v>217325473</v>
      </c>
      <c r="D288" s="147" t="s">
        <v>881</v>
      </c>
      <c r="E288" s="121">
        <v>253</v>
      </c>
      <c r="F288" s="120">
        <v>0</v>
      </c>
    </row>
    <row r="289" spans="1:6" ht="12">
      <c r="A289" s="189">
        <v>140414</v>
      </c>
      <c r="B289" s="147" t="s">
        <v>599</v>
      </c>
      <c r="C289" s="175">
        <v>217368573</v>
      </c>
      <c r="D289" s="147" t="s">
        <v>882</v>
      </c>
      <c r="E289" s="121">
        <v>151</v>
      </c>
      <c r="F289" s="120">
        <v>0</v>
      </c>
    </row>
    <row r="290" spans="1:6" ht="12">
      <c r="A290" s="189">
        <v>140414</v>
      </c>
      <c r="B290" s="147" t="s">
        <v>599</v>
      </c>
      <c r="C290" s="175">
        <v>217399773</v>
      </c>
      <c r="D290" s="147" t="s">
        <v>883</v>
      </c>
      <c r="E290" s="121">
        <v>250</v>
      </c>
      <c r="F290" s="120">
        <v>0</v>
      </c>
    </row>
    <row r="291" spans="1:6" ht="12">
      <c r="A291" s="189">
        <v>140414</v>
      </c>
      <c r="B291" s="147" t="s">
        <v>599</v>
      </c>
      <c r="C291" s="175">
        <v>217415774</v>
      </c>
      <c r="D291" s="147" t="s">
        <v>884</v>
      </c>
      <c r="E291" s="121">
        <v>87</v>
      </c>
      <c r="F291" s="120">
        <v>0</v>
      </c>
    </row>
    <row r="292" spans="1:6" ht="24">
      <c r="A292" s="189">
        <v>140414</v>
      </c>
      <c r="B292" s="147" t="s">
        <v>599</v>
      </c>
      <c r="C292" s="175">
        <v>217454874</v>
      </c>
      <c r="D292" s="147" t="s">
        <v>885</v>
      </c>
      <c r="E292" s="121">
        <v>552</v>
      </c>
      <c r="F292" s="120">
        <v>0</v>
      </c>
    </row>
    <row r="293" spans="1:6" ht="24">
      <c r="A293" s="189">
        <v>140414</v>
      </c>
      <c r="B293" s="147" t="s">
        <v>599</v>
      </c>
      <c r="C293" s="175">
        <v>217519075</v>
      </c>
      <c r="D293" s="147" t="s">
        <v>886</v>
      </c>
      <c r="E293" s="121">
        <v>266</v>
      </c>
      <c r="F293" s="120">
        <v>0</v>
      </c>
    </row>
    <row r="294" spans="1:6" ht="12">
      <c r="A294" s="189">
        <v>140414</v>
      </c>
      <c r="B294" s="147" t="s">
        <v>599</v>
      </c>
      <c r="C294" s="175">
        <v>217520175</v>
      </c>
      <c r="D294" s="147" t="s">
        <v>887</v>
      </c>
      <c r="E294" s="121">
        <v>150</v>
      </c>
      <c r="F294" s="120">
        <v>0</v>
      </c>
    </row>
    <row r="295" spans="1:6" ht="12">
      <c r="A295" s="189">
        <v>140414</v>
      </c>
      <c r="B295" s="147" t="s">
        <v>599</v>
      </c>
      <c r="C295" s="175">
        <v>217525875</v>
      </c>
      <c r="D295" s="147" t="s">
        <v>888</v>
      </c>
      <c r="E295" s="121">
        <v>7</v>
      </c>
      <c r="F295" s="120">
        <v>0</v>
      </c>
    </row>
    <row r="296" spans="1:6" ht="24">
      <c r="A296" s="189">
        <v>140414</v>
      </c>
      <c r="B296" s="147" t="s">
        <v>599</v>
      </c>
      <c r="C296" s="175">
        <v>217566075</v>
      </c>
      <c r="D296" s="147" t="s">
        <v>889</v>
      </c>
      <c r="E296" s="121">
        <v>193</v>
      </c>
      <c r="F296" s="120">
        <v>0</v>
      </c>
    </row>
    <row r="297" spans="1:6" ht="12">
      <c r="A297" s="189">
        <v>140414</v>
      </c>
      <c r="B297" s="147" t="s">
        <v>599</v>
      </c>
      <c r="C297" s="175">
        <v>217605576</v>
      </c>
      <c r="D297" s="147" t="s">
        <v>890</v>
      </c>
      <c r="E297" s="121">
        <v>280</v>
      </c>
      <c r="F297" s="120">
        <v>0</v>
      </c>
    </row>
    <row r="298" spans="1:6" ht="24">
      <c r="A298" s="189">
        <v>140414</v>
      </c>
      <c r="B298" s="147" t="s">
        <v>599</v>
      </c>
      <c r="C298" s="175">
        <v>217668276</v>
      </c>
      <c r="D298" s="147" t="s">
        <v>891</v>
      </c>
      <c r="E298" s="121">
        <v>156</v>
      </c>
      <c r="F298" s="120">
        <v>0</v>
      </c>
    </row>
    <row r="299" spans="1:6" ht="24">
      <c r="A299" s="189">
        <v>140414</v>
      </c>
      <c r="B299" s="147" t="s">
        <v>599</v>
      </c>
      <c r="C299" s="175">
        <v>217715377</v>
      </c>
      <c r="D299" s="147" t="s">
        <v>892</v>
      </c>
      <c r="E299" s="121">
        <v>131</v>
      </c>
      <c r="F299" s="120">
        <v>0</v>
      </c>
    </row>
    <row r="300" spans="1:6" ht="12">
      <c r="A300" s="189">
        <v>140414</v>
      </c>
      <c r="B300" s="147" t="s">
        <v>599</v>
      </c>
      <c r="C300" s="175">
        <v>217725377</v>
      </c>
      <c r="D300" s="147" t="s">
        <v>893</v>
      </c>
      <c r="E300" s="121">
        <v>904</v>
      </c>
      <c r="F300" s="120">
        <v>0</v>
      </c>
    </row>
    <row r="301" spans="1:6" ht="12">
      <c r="A301" s="189">
        <v>140414</v>
      </c>
      <c r="B301" s="147" t="s">
        <v>599</v>
      </c>
      <c r="C301" s="175">
        <v>217725777</v>
      </c>
      <c r="D301" s="147" t="s">
        <v>894</v>
      </c>
      <c r="E301" s="121">
        <v>157</v>
      </c>
      <c r="F301" s="120">
        <v>0</v>
      </c>
    </row>
    <row r="302" spans="1:6" ht="24">
      <c r="A302" s="189">
        <v>140414</v>
      </c>
      <c r="B302" s="147" t="s">
        <v>599</v>
      </c>
      <c r="C302" s="175">
        <v>217750577</v>
      </c>
      <c r="D302" s="147" t="s">
        <v>895</v>
      </c>
      <c r="E302" s="121">
        <v>236</v>
      </c>
      <c r="F302" s="120">
        <v>0</v>
      </c>
    </row>
    <row r="303" spans="1:6" ht="24">
      <c r="A303" s="189">
        <v>140414</v>
      </c>
      <c r="B303" s="147" t="s">
        <v>599</v>
      </c>
      <c r="C303" s="175">
        <v>217768077</v>
      </c>
      <c r="D303" s="147" t="s">
        <v>896</v>
      </c>
      <c r="E303" s="121">
        <v>285</v>
      </c>
      <c r="F303" s="120">
        <v>0</v>
      </c>
    </row>
    <row r="304" spans="1:6" ht="12">
      <c r="A304" s="189">
        <v>140414</v>
      </c>
      <c r="B304" s="147" t="s">
        <v>599</v>
      </c>
      <c r="C304" s="175">
        <v>217815778</v>
      </c>
      <c r="D304" s="147" t="s">
        <v>897</v>
      </c>
      <c r="E304" s="121">
        <v>24</v>
      </c>
      <c r="F304" s="120">
        <v>0</v>
      </c>
    </row>
    <row r="305" spans="1:6" ht="12">
      <c r="A305" s="189">
        <v>140414</v>
      </c>
      <c r="B305" s="147" t="s">
        <v>599</v>
      </c>
      <c r="C305" s="175">
        <v>217841078</v>
      </c>
      <c r="D305" s="147" t="s">
        <v>898</v>
      </c>
      <c r="E305" s="121">
        <v>124</v>
      </c>
      <c r="F305" s="120">
        <v>0</v>
      </c>
    </row>
    <row r="306" spans="1:6" ht="12">
      <c r="A306" s="189">
        <v>140414</v>
      </c>
      <c r="B306" s="147" t="s">
        <v>599</v>
      </c>
      <c r="C306" s="175">
        <v>217841378</v>
      </c>
      <c r="D306" s="147" t="s">
        <v>899</v>
      </c>
      <c r="E306" s="121">
        <v>134</v>
      </c>
      <c r="F306" s="120">
        <v>0</v>
      </c>
    </row>
    <row r="307" spans="1:6" ht="12">
      <c r="A307" s="189">
        <v>140414</v>
      </c>
      <c r="B307" s="147" t="s">
        <v>599</v>
      </c>
      <c r="C307" s="175">
        <v>217918479</v>
      </c>
      <c r="D307" s="147" t="s">
        <v>900</v>
      </c>
      <c r="E307" s="121">
        <v>21</v>
      </c>
      <c r="F307" s="120">
        <v>0</v>
      </c>
    </row>
    <row r="308" spans="1:6" ht="12">
      <c r="A308" s="189">
        <v>140414</v>
      </c>
      <c r="B308" s="147" t="s">
        <v>599</v>
      </c>
      <c r="C308" s="175">
        <v>217925279</v>
      </c>
      <c r="D308" s="147" t="s">
        <v>901</v>
      </c>
      <c r="E308" s="121">
        <v>45</v>
      </c>
      <c r="F308" s="120">
        <v>0</v>
      </c>
    </row>
    <row r="309" spans="1:6" ht="12">
      <c r="A309" s="189">
        <v>140414</v>
      </c>
      <c r="B309" s="147" t="s">
        <v>599</v>
      </c>
      <c r="C309" s="175">
        <v>217925779</v>
      </c>
      <c r="D309" s="147" t="s">
        <v>902</v>
      </c>
      <c r="E309" s="121">
        <v>20</v>
      </c>
      <c r="F309" s="120">
        <v>0</v>
      </c>
    </row>
    <row r="310" spans="1:6" ht="12">
      <c r="A310" s="189">
        <v>140414</v>
      </c>
      <c r="B310" s="147" t="s">
        <v>599</v>
      </c>
      <c r="C310" s="175">
        <v>217968679</v>
      </c>
      <c r="D310" s="147" t="s">
        <v>903</v>
      </c>
      <c r="E310" s="121">
        <v>554</v>
      </c>
      <c r="F310" s="120">
        <v>0</v>
      </c>
    </row>
    <row r="311" spans="1:6" ht="12">
      <c r="A311" s="189">
        <v>140414</v>
      </c>
      <c r="B311" s="147" t="s">
        <v>599</v>
      </c>
      <c r="C311" s="175">
        <v>217985279</v>
      </c>
      <c r="D311" s="147" t="s">
        <v>904</v>
      </c>
      <c r="E311" s="121">
        <v>133</v>
      </c>
      <c r="F311" s="120">
        <v>0</v>
      </c>
    </row>
    <row r="312" spans="1:6" ht="12">
      <c r="A312" s="189">
        <v>140414</v>
      </c>
      <c r="B312" s="147" t="s">
        <v>599</v>
      </c>
      <c r="C312" s="175">
        <v>218015380</v>
      </c>
      <c r="D312" s="147" t="s">
        <v>905</v>
      </c>
      <c r="E312" s="121">
        <v>84</v>
      </c>
      <c r="F312" s="120">
        <v>0</v>
      </c>
    </row>
    <row r="313" spans="1:6" ht="12">
      <c r="A313" s="189">
        <v>140414</v>
      </c>
      <c r="B313" s="147" t="s">
        <v>599</v>
      </c>
      <c r="C313" s="175">
        <v>218025580</v>
      </c>
      <c r="D313" s="147" t="s">
        <v>906</v>
      </c>
      <c r="E313" s="121">
        <v>145</v>
      </c>
      <c r="F313" s="120">
        <v>0</v>
      </c>
    </row>
    <row r="314" spans="1:6" ht="24">
      <c r="A314" s="189">
        <v>140414</v>
      </c>
      <c r="B314" s="147" t="s">
        <v>599</v>
      </c>
      <c r="C314" s="175">
        <v>218050680</v>
      </c>
      <c r="D314" s="147" t="s">
        <v>907</v>
      </c>
      <c r="E314" s="121">
        <v>189</v>
      </c>
      <c r="F314" s="120">
        <v>0</v>
      </c>
    </row>
    <row r="315" spans="1:6" ht="12">
      <c r="A315" s="189">
        <v>140414</v>
      </c>
      <c r="B315" s="147" t="s">
        <v>599</v>
      </c>
      <c r="C315" s="175">
        <v>218054480</v>
      </c>
      <c r="D315" s="147" t="s">
        <v>908</v>
      </c>
      <c r="E315" s="121">
        <v>80</v>
      </c>
      <c r="F315" s="120">
        <v>0</v>
      </c>
    </row>
    <row r="316" spans="1:6" ht="24">
      <c r="A316" s="189">
        <v>140414</v>
      </c>
      <c r="B316" s="147" t="s">
        <v>599</v>
      </c>
      <c r="C316" s="175">
        <v>218054680</v>
      </c>
      <c r="D316" s="147" t="s">
        <v>909</v>
      </c>
      <c r="E316" s="121">
        <v>77</v>
      </c>
      <c r="F316" s="120">
        <v>0</v>
      </c>
    </row>
    <row r="317" spans="1:6" ht="24">
      <c r="A317" s="189">
        <v>140414</v>
      </c>
      <c r="B317" s="147" t="s">
        <v>599</v>
      </c>
      <c r="C317" s="175">
        <v>218115681</v>
      </c>
      <c r="D317" s="147" t="s">
        <v>910</v>
      </c>
      <c r="E317" s="121">
        <v>28</v>
      </c>
      <c r="F317" s="120">
        <v>0</v>
      </c>
    </row>
    <row r="318" spans="1:6" ht="12">
      <c r="A318" s="189">
        <v>140414</v>
      </c>
      <c r="B318" s="147" t="s">
        <v>599</v>
      </c>
      <c r="C318" s="175">
        <v>218125181</v>
      </c>
      <c r="D318" s="147" t="s">
        <v>911</v>
      </c>
      <c r="E318" s="121">
        <v>218</v>
      </c>
      <c r="F318" s="120">
        <v>0</v>
      </c>
    </row>
    <row r="319" spans="1:6" ht="12">
      <c r="A319" s="189">
        <v>140414</v>
      </c>
      <c r="B319" s="147" t="s">
        <v>599</v>
      </c>
      <c r="C319" s="175">
        <v>218125281</v>
      </c>
      <c r="D319" s="147" t="s">
        <v>912</v>
      </c>
      <c r="E319" s="121">
        <v>197</v>
      </c>
      <c r="F319" s="120">
        <v>0</v>
      </c>
    </row>
    <row r="320" spans="1:6" ht="12">
      <c r="A320" s="189">
        <v>140414</v>
      </c>
      <c r="B320" s="147" t="s">
        <v>599</v>
      </c>
      <c r="C320" s="175">
        <v>218125781</v>
      </c>
      <c r="D320" s="147" t="s">
        <v>913</v>
      </c>
      <c r="E320" s="121">
        <v>131</v>
      </c>
      <c r="F320" s="120">
        <v>0</v>
      </c>
    </row>
    <row r="321" spans="1:6" ht="24">
      <c r="A321" s="189">
        <v>140414</v>
      </c>
      <c r="B321" s="147" t="s">
        <v>599</v>
      </c>
      <c r="C321" s="175">
        <v>218266682</v>
      </c>
      <c r="D321" s="147" t="s">
        <v>914</v>
      </c>
      <c r="E321" s="121">
        <v>955</v>
      </c>
      <c r="F321" s="120">
        <v>0</v>
      </c>
    </row>
    <row r="322" spans="1:6" ht="24">
      <c r="A322" s="189">
        <v>140414</v>
      </c>
      <c r="B322" s="147" t="s">
        <v>599</v>
      </c>
      <c r="C322" s="175">
        <v>218313683</v>
      </c>
      <c r="D322" s="147" t="s">
        <v>915</v>
      </c>
      <c r="E322" s="121">
        <v>25</v>
      </c>
      <c r="F322" s="120">
        <v>0</v>
      </c>
    </row>
    <row r="323" spans="1:6" ht="12">
      <c r="A323" s="189">
        <v>140414</v>
      </c>
      <c r="B323" s="147" t="s">
        <v>599</v>
      </c>
      <c r="C323" s="175">
        <v>218315183</v>
      </c>
      <c r="D323" s="147" t="s">
        <v>916</v>
      </c>
      <c r="E323" s="121">
        <v>139</v>
      </c>
      <c r="F323" s="120">
        <v>0</v>
      </c>
    </row>
    <row r="324" spans="1:6" ht="12">
      <c r="A324" s="189">
        <v>140414</v>
      </c>
      <c r="B324" s="147" t="s">
        <v>599</v>
      </c>
      <c r="C324" s="175">
        <v>218325183</v>
      </c>
      <c r="D324" s="147" t="s">
        <v>917</v>
      </c>
      <c r="E324" s="121">
        <v>244</v>
      </c>
      <c r="F324" s="120">
        <v>0</v>
      </c>
    </row>
    <row r="325" spans="1:6" ht="12">
      <c r="A325" s="189">
        <v>140414</v>
      </c>
      <c r="B325" s="147" t="s">
        <v>599</v>
      </c>
      <c r="C325" s="175">
        <v>218341483</v>
      </c>
      <c r="D325" s="147" t="s">
        <v>918</v>
      </c>
      <c r="E325" s="121">
        <v>147</v>
      </c>
      <c r="F325" s="120">
        <v>0</v>
      </c>
    </row>
    <row r="326" spans="1:6" ht="24">
      <c r="A326" s="189">
        <v>140414</v>
      </c>
      <c r="B326" s="147" t="s">
        <v>599</v>
      </c>
      <c r="C326" s="175">
        <v>218350683</v>
      </c>
      <c r="D326" s="147" t="s">
        <v>919</v>
      </c>
      <c r="E326" s="121">
        <v>6</v>
      </c>
      <c r="F326" s="120">
        <v>0</v>
      </c>
    </row>
    <row r="327" spans="1:6" ht="12">
      <c r="A327" s="189">
        <v>140414</v>
      </c>
      <c r="B327" s="147" t="s">
        <v>599</v>
      </c>
      <c r="C327" s="175">
        <v>218405284</v>
      </c>
      <c r="D327" s="147" t="s">
        <v>920</v>
      </c>
      <c r="E327" s="121">
        <v>218</v>
      </c>
      <c r="F327" s="120">
        <v>0</v>
      </c>
    </row>
    <row r="328" spans="1:6" ht="12">
      <c r="A328" s="189">
        <v>140414</v>
      </c>
      <c r="B328" s="147" t="s">
        <v>599</v>
      </c>
      <c r="C328" s="175">
        <v>218518785</v>
      </c>
      <c r="D328" s="147" t="s">
        <v>921</v>
      </c>
      <c r="E328" s="121">
        <v>26</v>
      </c>
      <c r="F328" s="120">
        <v>0</v>
      </c>
    </row>
    <row r="329" spans="1:6" ht="12">
      <c r="A329" s="189">
        <v>140414</v>
      </c>
      <c r="B329" s="147" t="s">
        <v>599</v>
      </c>
      <c r="C329" s="175">
        <v>218519785</v>
      </c>
      <c r="D329" s="147" t="s">
        <v>922</v>
      </c>
      <c r="E329" s="121">
        <v>75</v>
      </c>
      <c r="F329" s="120">
        <v>0</v>
      </c>
    </row>
    <row r="330" spans="1:6" ht="12">
      <c r="A330" s="189">
        <v>140414</v>
      </c>
      <c r="B330" s="147" t="s">
        <v>599</v>
      </c>
      <c r="C330" s="175">
        <v>218525885</v>
      </c>
      <c r="D330" s="147" t="s">
        <v>923</v>
      </c>
      <c r="E330" s="121">
        <v>224</v>
      </c>
      <c r="F330" s="120">
        <v>0</v>
      </c>
    </row>
    <row r="331" spans="1:6" ht="12">
      <c r="A331" s="189">
        <v>140414</v>
      </c>
      <c r="B331" s="147" t="s">
        <v>599</v>
      </c>
      <c r="C331" s="175">
        <v>218541885</v>
      </c>
      <c r="D331" s="147" t="s">
        <v>924</v>
      </c>
      <c r="E331" s="121">
        <v>273</v>
      </c>
      <c r="F331" s="120">
        <v>0</v>
      </c>
    </row>
    <row r="332" spans="1:6" ht="12">
      <c r="A332" s="189">
        <v>140414</v>
      </c>
      <c r="B332" s="147" t="s">
        <v>599</v>
      </c>
      <c r="C332" s="175">
        <v>218552385</v>
      </c>
      <c r="D332" s="147" t="s">
        <v>925</v>
      </c>
      <c r="E332" s="121">
        <v>162</v>
      </c>
      <c r="F332" s="120">
        <v>0</v>
      </c>
    </row>
    <row r="333" spans="1:6" ht="24">
      <c r="A333" s="189">
        <v>140414</v>
      </c>
      <c r="B333" s="147" t="s">
        <v>599</v>
      </c>
      <c r="C333" s="175">
        <v>218573585</v>
      </c>
      <c r="D333" s="147" t="s">
        <v>926</v>
      </c>
      <c r="E333" s="121">
        <v>27</v>
      </c>
      <c r="F333" s="120">
        <v>0</v>
      </c>
    </row>
    <row r="334" spans="1:6" ht="12">
      <c r="A334" s="189">
        <v>140414</v>
      </c>
      <c r="B334" s="147" t="s">
        <v>599</v>
      </c>
      <c r="C334" s="175">
        <v>218617486</v>
      </c>
      <c r="D334" s="147" t="s">
        <v>927</v>
      </c>
      <c r="E334" s="121">
        <v>380</v>
      </c>
      <c r="F334" s="120">
        <v>0</v>
      </c>
    </row>
    <row r="335" spans="1:6" ht="12">
      <c r="A335" s="189">
        <v>140414</v>
      </c>
      <c r="B335" s="147" t="s">
        <v>599</v>
      </c>
      <c r="C335" s="175">
        <v>218623686</v>
      </c>
      <c r="D335" s="147" t="s">
        <v>928</v>
      </c>
      <c r="E335" s="121">
        <v>20</v>
      </c>
      <c r="F335" s="120">
        <v>0</v>
      </c>
    </row>
    <row r="336" spans="1:6" ht="12">
      <c r="A336" s="189">
        <v>140414</v>
      </c>
      <c r="B336" s="147" t="s">
        <v>599</v>
      </c>
      <c r="C336" s="175">
        <v>218625286</v>
      </c>
      <c r="D336" s="147" t="s">
        <v>929</v>
      </c>
      <c r="E336" s="121">
        <v>33</v>
      </c>
      <c r="F336" s="120">
        <v>0</v>
      </c>
    </row>
    <row r="337" spans="1:6" ht="12">
      <c r="A337" s="189">
        <v>140414</v>
      </c>
      <c r="B337" s="147" t="s">
        <v>599</v>
      </c>
      <c r="C337" s="175">
        <v>218625386</v>
      </c>
      <c r="D337" s="147" t="s">
        <v>930</v>
      </c>
      <c r="E337" s="121">
        <v>842</v>
      </c>
      <c r="F337" s="120">
        <v>0</v>
      </c>
    </row>
    <row r="338" spans="1:6" ht="12">
      <c r="A338" s="189">
        <v>140414</v>
      </c>
      <c r="B338" s="147" t="s">
        <v>599</v>
      </c>
      <c r="C338" s="175">
        <v>218625486</v>
      </c>
      <c r="D338" s="147" t="s">
        <v>931</v>
      </c>
      <c r="E338" s="121">
        <v>327</v>
      </c>
      <c r="F338" s="120">
        <v>0</v>
      </c>
    </row>
    <row r="339" spans="1:6" ht="12">
      <c r="A339" s="189">
        <v>140414</v>
      </c>
      <c r="B339" s="147" t="s">
        <v>599</v>
      </c>
      <c r="C339" s="175">
        <v>218650686</v>
      </c>
      <c r="D339" s="147" t="s">
        <v>932</v>
      </c>
      <c r="E339" s="121">
        <v>66</v>
      </c>
      <c r="F339" s="120">
        <v>0</v>
      </c>
    </row>
    <row r="340" spans="1:6" ht="12">
      <c r="A340" s="189">
        <v>140414</v>
      </c>
      <c r="B340" s="147" t="s">
        <v>599</v>
      </c>
      <c r="C340" s="175">
        <v>218673686</v>
      </c>
      <c r="D340" s="147" t="s">
        <v>933</v>
      </c>
      <c r="E340" s="121">
        <v>5</v>
      </c>
      <c r="F340" s="120">
        <v>0</v>
      </c>
    </row>
    <row r="341" spans="1:6" ht="24">
      <c r="A341" s="189">
        <v>140414</v>
      </c>
      <c r="B341" s="147" t="s">
        <v>599</v>
      </c>
      <c r="C341" s="175">
        <v>218750287</v>
      </c>
      <c r="D341" s="147" t="s">
        <v>934</v>
      </c>
      <c r="E341" s="121">
        <v>392</v>
      </c>
      <c r="F341" s="120">
        <v>0</v>
      </c>
    </row>
    <row r="342" spans="1:6" ht="24">
      <c r="A342" s="189">
        <v>140414</v>
      </c>
      <c r="B342" s="147" t="s">
        <v>599</v>
      </c>
      <c r="C342" s="175">
        <v>218813688</v>
      </c>
      <c r="D342" s="147" t="s">
        <v>935</v>
      </c>
      <c r="E342" s="121">
        <v>364</v>
      </c>
      <c r="F342" s="120">
        <v>0</v>
      </c>
    </row>
    <row r="343" spans="1:6" ht="12">
      <c r="A343" s="189">
        <v>140414</v>
      </c>
      <c r="B343" s="147" t="s">
        <v>599</v>
      </c>
      <c r="C343" s="175">
        <v>218825288</v>
      </c>
      <c r="D343" s="147" t="s">
        <v>936</v>
      </c>
      <c r="E343" s="121">
        <v>163</v>
      </c>
      <c r="F343" s="120">
        <v>0</v>
      </c>
    </row>
    <row r="344" spans="1:6" ht="12">
      <c r="A344" s="189">
        <v>140414</v>
      </c>
      <c r="B344" s="147" t="s">
        <v>599</v>
      </c>
      <c r="C344" s="175">
        <v>218825488</v>
      </c>
      <c r="D344" s="147" t="s">
        <v>937</v>
      </c>
      <c r="E344" s="121">
        <v>399</v>
      </c>
      <c r="F344" s="120">
        <v>0</v>
      </c>
    </row>
    <row r="345" spans="1:6" ht="24">
      <c r="A345" s="189">
        <v>140414</v>
      </c>
      <c r="B345" s="147" t="s">
        <v>599</v>
      </c>
      <c r="C345" s="175">
        <v>218923189</v>
      </c>
      <c r="D345" s="147" t="s">
        <v>938</v>
      </c>
      <c r="E345" s="121">
        <v>27</v>
      </c>
      <c r="F345" s="120">
        <v>0</v>
      </c>
    </row>
    <row r="346" spans="1:6" ht="12">
      <c r="A346" s="189">
        <v>140414</v>
      </c>
      <c r="B346" s="147" t="s">
        <v>599</v>
      </c>
      <c r="C346" s="175">
        <v>218925489</v>
      </c>
      <c r="D346" s="147" t="s">
        <v>939</v>
      </c>
      <c r="E346" s="121">
        <v>118</v>
      </c>
      <c r="F346" s="120">
        <v>0</v>
      </c>
    </row>
    <row r="347" spans="1:6" ht="24">
      <c r="A347" s="189">
        <v>140414</v>
      </c>
      <c r="B347" s="147" t="s">
        <v>599</v>
      </c>
      <c r="C347" s="175">
        <v>218947189</v>
      </c>
      <c r="D347" s="147" t="s">
        <v>940</v>
      </c>
      <c r="E347" s="121">
        <v>36</v>
      </c>
      <c r="F347" s="120">
        <v>0</v>
      </c>
    </row>
    <row r="348" spans="1:6" ht="12">
      <c r="A348" s="189">
        <v>140414</v>
      </c>
      <c r="B348" s="147" t="s">
        <v>599</v>
      </c>
      <c r="C348" s="175">
        <v>218950689</v>
      </c>
      <c r="D348" s="147" t="s">
        <v>941</v>
      </c>
      <c r="E348" s="121">
        <v>20</v>
      </c>
      <c r="F348" s="120">
        <v>0</v>
      </c>
    </row>
    <row r="349" spans="1:6" ht="24">
      <c r="A349" s="189">
        <v>140414</v>
      </c>
      <c r="B349" s="147" t="s">
        <v>599</v>
      </c>
      <c r="C349" s="175">
        <v>218968689</v>
      </c>
      <c r="D349" s="147" t="s">
        <v>942</v>
      </c>
      <c r="E349" s="121">
        <v>473</v>
      </c>
      <c r="F349" s="120">
        <v>0</v>
      </c>
    </row>
    <row r="350" spans="1:6" ht="12">
      <c r="A350" s="189">
        <v>140414</v>
      </c>
      <c r="B350" s="147" t="s">
        <v>599</v>
      </c>
      <c r="C350" s="175">
        <v>219015090</v>
      </c>
      <c r="D350" s="147" t="s">
        <v>943</v>
      </c>
      <c r="E350" s="121">
        <v>153</v>
      </c>
      <c r="F350" s="120">
        <v>0</v>
      </c>
    </row>
    <row r="351" spans="1:6" ht="24">
      <c r="A351" s="189">
        <v>140414</v>
      </c>
      <c r="B351" s="147" t="s">
        <v>599</v>
      </c>
      <c r="C351" s="175">
        <v>219019290</v>
      </c>
      <c r="D351" s="147" t="s">
        <v>944</v>
      </c>
      <c r="E351" s="121">
        <v>85</v>
      </c>
      <c r="F351" s="120">
        <v>0</v>
      </c>
    </row>
    <row r="352" spans="1:6" ht="12">
      <c r="A352" s="189">
        <v>140414</v>
      </c>
      <c r="B352" s="147" t="s">
        <v>599</v>
      </c>
      <c r="C352" s="175">
        <v>219025290</v>
      </c>
      <c r="D352" s="147" t="s">
        <v>945</v>
      </c>
      <c r="E352" s="121">
        <v>25</v>
      </c>
      <c r="F352" s="120">
        <v>0</v>
      </c>
    </row>
    <row r="353" spans="1:6" ht="12">
      <c r="A353" s="189">
        <v>140414</v>
      </c>
      <c r="B353" s="147" t="s">
        <v>599</v>
      </c>
      <c r="C353" s="175">
        <v>219141791</v>
      </c>
      <c r="D353" s="147" t="s">
        <v>946</v>
      </c>
      <c r="E353" s="121">
        <v>146</v>
      </c>
      <c r="F353" s="120">
        <v>0</v>
      </c>
    </row>
    <row r="354" spans="1:6" ht="12">
      <c r="A354" s="189">
        <v>140414</v>
      </c>
      <c r="B354" s="147" t="s">
        <v>599</v>
      </c>
      <c r="C354" s="175">
        <v>219219392</v>
      </c>
      <c r="D354" s="147" t="s">
        <v>947</v>
      </c>
      <c r="E354" s="121">
        <v>129</v>
      </c>
      <c r="F354" s="120">
        <v>0</v>
      </c>
    </row>
    <row r="355" spans="1:6" ht="24">
      <c r="A355" s="189">
        <v>140414</v>
      </c>
      <c r="B355" s="147" t="s">
        <v>599</v>
      </c>
      <c r="C355" s="175">
        <v>219225592</v>
      </c>
      <c r="D355" s="147" t="s">
        <v>948</v>
      </c>
      <c r="E355" s="121">
        <v>130</v>
      </c>
      <c r="F355" s="120">
        <v>0</v>
      </c>
    </row>
    <row r="356" spans="1:6" ht="24">
      <c r="A356" s="189">
        <v>140414</v>
      </c>
      <c r="B356" s="147" t="s">
        <v>599</v>
      </c>
      <c r="C356" s="175">
        <v>219268092</v>
      </c>
      <c r="D356" s="147" t="s">
        <v>949</v>
      </c>
      <c r="E356" s="121">
        <v>129</v>
      </c>
      <c r="F356" s="120">
        <v>0</v>
      </c>
    </row>
    <row r="357" spans="1:6" ht="12">
      <c r="A357" s="189">
        <v>140414</v>
      </c>
      <c r="B357" s="147" t="s">
        <v>599</v>
      </c>
      <c r="C357" s="175">
        <v>219325293</v>
      </c>
      <c r="D357" s="147" t="s">
        <v>950</v>
      </c>
      <c r="E357" s="121">
        <v>322</v>
      </c>
      <c r="F357" s="120">
        <v>0</v>
      </c>
    </row>
    <row r="358" spans="1:6" ht="12">
      <c r="A358" s="189">
        <v>140414</v>
      </c>
      <c r="B358" s="147" t="s">
        <v>599</v>
      </c>
      <c r="C358" s="175">
        <v>219325793</v>
      </c>
      <c r="D358" s="147" t="s">
        <v>951</v>
      </c>
      <c r="E358" s="121">
        <v>152</v>
      </c>
      <c r="F358" s="120">
        <v>0</v>
      </c>
    </row>
    <row r="359" spans="1:6" ht="12">
      <c r="A359" s="189">
        <v>140414</v>
      </c>
      <c r="B359" s="147" t="s">
        <v>599</v>
      </c>
      <c r="C359" s="175">
        <v>219413894</v>
      </c>
      <c r="D359" s="147" t="s">
        <v>952</v>
      </c>
      <c r="E359" s="121">
        <v>195</v>
      </c>
      <c r="F359" s="120">
        <v>0</v>
      </c>
    </row>
    <row r="360" spans="1:6" ht="12">
      <c r="A360" s="189">
        <v>140414</v>
      </c>
      <c r="B360" s="147" t="s">
        <v>599</v>
      </c>
      <c r="C360" s="175">
        <v>219425594</v>
      </c>
      <c r="D360" s="147" t="s">
        <v>953</v>
      </c>
      <c r="E360" s="121">
        <v>171</v>
      </c>
      <c r="F360" s="120">
        <v>0</v>
      </c>
    </row>
    <row r="361" spans="1:6" ht="12">
      <c r="A361" s="189">
        <v>140414</v>
      </c>
      <c r="B361" s="147" t="s">
        <v>599</v>
      </c>
      <c r="C361" s="175">
        <v>219463594</v>
      </c>
      <c r="D361" s="147" t="s">
        <v>954</v>
      </c>
      <c r="E361" s="121">
        <v>601</v>
      </c>
      <c r="F361" s="120">
        <v>0</v>
      </c>
    </row>
    <row r="362" spans="1:6" ht="12">
      <c r="A362" s="189">
        <v>140414</v>
      </c>
      <c r="B362" s="147" t="s">
        <v>599</v>
      </c>
      <c r="C362" s="175">
        <v>219525095</v>
      </c>
      <c r="D362" s="147" t="s">
        <v>955</v>
      </c>
      <c r="E362" s="121">
        <v>79</v>
      </c>
      <c r="F362" s="120">
        <v>0</v>
      </c>
    </row>
    <row r="363" spans="1:6" ht="12">
      <c r="A363" s="189">
        <v>140414</v>
      </c>
      <c r="B363" s="147" t="s">
        <v>599</v>
      </c>
      <c r="C363" s="175">
        <v>219525295</v>
      </c>
      <c r="D363" s="147" t="s">
        <v>956</v>
      </c>
      <c r="E363" s="121">
        <v>263</v>
      </c>
      <c r="F363" s="120">
        <v>0</v>
      </c>
    </row>
    <row r="364" spans="1:6" ht="12">
      <c r="A364" s="189">
        <v>140414</v>
      </c>
      <c r="B364" s="147" t="s">
        <v>599</v>
      </c>
      <c r="C364" s="175">
        <v>219527495</v>
      </c>
      <c r="D364" s="147" t="s">
        <v>957</v>
      </c>
      <c r="E364" s="121">
        <v>117</v>
      </c>
      <c r="F364" s="120">
        <v>0</v>
      </c>
    </row>
    <row r="365" spans="1:6" ht="12">
      <c r="A365" s="189">
        <v>140414</v>
      </c>
      <c r="B365" s="147" t="s">
        <v>599</v>
      </c>
      <c r="C365" s="175">
        <v>219625596</v>
      </c>
      <c r="D365" s="147" t="s">
        <v>958</v>
      </c>
      <c r="E365" s="121">
        <v>132</v>
      </c>
      <c r="F365" s="120">
        <v>0</v>
      </c>
    </row>
    <row r="366" spans="1:6" ht="12">
      <c r="A366" s="189">
        <v>140414</v>
      </c>
      <c r="B366" s="147" t="s">
        <v>599</v>
      </c>
      <c r="C366" s="175">
        <v>219641396</v>
      </c>
      <c r="D366" s="147" t="s">
        <v>959</v>
      </c>
      <c r="E366" s="121">
        <v>441</v>
      </c>
      <c r="F366" s="120">
        <v>0</v>
      </c>
    </row>
    <row r="367" spans="1:6" ht="24">
      <c r="A367" s="189">
        <v>140414</v>
      </c>
      <c r="B367" s="147" t="s">
        <v>599</v>
      </c>
      <c r="C367" s="175">
        <v>219719397</v>
      </c>
      <c r="D367" s="147" t="s">
        <v>960</v>
      </c>
      <c r="E367" s="121">
        <v>136</v>
      </c>
      <c r="F367" s="120">
        <v>0</v>
      </c>
    </row>
    <row r="368" spans="1:6" ht="12">
      <c r="A368" s="189">
        <v>140414</v>
      </c>
      <c r="B368" s="147" t="s">
        <v>599</v>
      </c>
      <c r="C368" s="175">
        <v>219725297</v>
      </c>
      <c r="D368" s="147" t="s">
        <v>961</v>
      </c>
      <c r="E368" s="121">
        <v>512</v>
      </c>
      <c r="F368" s="120">
        <v>0</v>
      </c>
    </row>
    <row r="369" spans="1:6" ht="12">
      <c r="A369" s="189">
        <v>140414</v>
      </c>
      <c r="B369" s="147" t="s">
        <v>599</v>
      </c>
      <c r="C369" s="175">
        <v>219741797</v>
      </c>
      <c r="D369" s="147" t="s">
        <v>962</v>
      </c>
      <c r="E369" s="121">
        <v>189</v>
      </c>
      <c r="F369" s="120">
        <v>0</v>
      </c>
    </row>
    <row r="370" spans="1:6" ht="12">
      <c r="A370" s="189">
        <v>140414</v>
      </c>
      <c r="B370" s="147" t="s">
        <v>599</v>
      </c>
      <c r="C370" s="175">
        <v>219776497</v>
      </c>
      <c r="D370" s="147" t="s">
        <v>963</v>
      </c>
      <c r="E370" s="121">
        <v>291</v>
      </c>
      <c r="F370" s="120">
        <v>0</v>
      </c>
    </row>
    <row r="371" spans="1:6" ht="12">
      <c r="A371" s="189">
        <v>140414</v>
      </c>
      <c r="B371" s="147" t="s">
        <v>599</v>
      </c>
      <c r="C371" s="175">
        <v>219815798</v>
      </c>
      <c r="D371" s="147" t="s">
        <v>964</v>
      </c>
      <c r="E371" s="121">
        <v>143</v>
      </c>
      <c r="F371" s="120">
        <v>0</v>
      </c>
    </row>
    <row r="372" spans="1:6" ht="12">
      <c r="A372" s="189">
        <v>140414</v>
      </c>
      <c r="B372" s="147" t="s">
        <v>599</v>
      </c>
      <c r="C372" s="175">
        <v>219825398</v>
      </c>
      <c r="D372" s="147" t="s">
        <v>965</v>
      </c>
      <c r="E372" s="121">
        <v>136</v>
      </c>
      <c r="F372" s="120">
        <v>0</v>
      </c>
    </row>
    <row r="373" spans="1:6" ht="12">
      <c r="A373" s="189">
        <v>140414</v>
      </c>
      <c r="B373" s="147" t="s">
        <v>599</v>
      </c>
      <c r="C373" s="175">
        <v>219825898</v>
      </c>
      <c r="D373" s="147" t="s">
        <v>966</v>
      </c>
      <c r="E373" s="121">
        <v>66</v>
      </c>
      <c r="F373" s="120">
        <v>0</v>
      </c>
    </row>
    <row r="374" spans="1:6" ht="12">
      <c r="A374" s="189">
        <v>140414</v>
      </c>
      <c r="B374" s="147" t="s">
        <v>599</v>
      </c>
      <c r="C374" s="175">
        <v>219841298</v>
      </c>
      <c r="D374" s="147" t="s">
        <v>967</v>
      </c>
      <c r="E374" s="121">
        <v>801</v>
      </c>
      <c r="F374" s="120">
        <v>0</v>
      </c>
    </row>
    <row r="375" spans="1:6" ht="12">
      <c r="A375" s="189">
        <v>140414</v>
      </c>
      <c r="B375" s="147" t="s">
        <v>599</v>
      </c>
      <c r="C375" s="175">
        <v>219868498</v>
      </c>
      <c r="D375" s="147" t="s">
        <v>968</v>
      </c>
      <c r="E375" s="121">
        <v>118</v>
      </c>
      <c r="F375" s="120">
        <v>0</v>
      </c>
    </row>
    <row r="376" spans="1:6" ht="12">
      <c r="A376" s="189">
        <v>140414</v>
      </c>
      <c r="B376" s="147" t="s">
        <v>599</v>
      </c>
      <c r="C376" s="175">
        <v>219915299</v>
      </c>
      <c r="D376" s="147" t="s">
        <v>969</v>
      </c>
      <c r="E376" s="121">
        <v>209</v>
      </c>
      <c r="F376" s="120">
        <v>0</v>
      </c>
    </row>
    <row r="377" spans="1:6" ht="12">
      <c r="A377" s="189">
        <v>140414</v>
      </c>
      <c r="B377" s="147" t="s">
        <v>599</v>
      </c>
      <c r="C377" s="175">
        <v>219925099</v>
      </c>
      <c r="D377" s="147" t="s">
        <v>970</v>
      </c>
      <c r="E377" s="121">
        <v>384</v>
      </c>
      <c r="F377" s="120">
        <v>0</v>
      </c>
    </row>
    <row r="378" spans="1:6" ht="12">
      <c r="A378" s="189">
        <v>140414</v>
      </c>
      <c r="B378" s="147" t="s">
        <v>599</v>
      </c>
      <c r="C378" s="175">
        <v>219925299</v>
      </c>
      <c r="D378" s="147" t="s">
        <v>971</v>
      </c>
      <c r="E378" s="121">
        <v>168</v>
      </c>
      <c r="F378" s="120">
        <v>0</v>
      </c>
    </row>
    <row r="379" spans="1:6" ht="12">
      <c r="A379" s="189">
        <v>140414</v>
      </c>
      <c r="B379" s="147" t="s">
        <v>599</v>
      </c>
      <c r="C379" s="175">
        <v>219941799</v>
      </c>
      <c r="D379" s="147" t="s">
        <v>972</v>
      </c>
      <c r="E379" s="121">
        <v>183</v>
      </c>
      <c r="F379" s="120">
        <v>0</v>
      </c>
    </row>
    <row r="380" spans="1:6" ht="12">
      <c r="A380" s="189">
        <v>140414</v>
      </c>
      <c r="B380" s="147" t="s">
        <v>599</v>
      </c>
      <c r="C380" s="175">
        <v>600000184</v>
      </c>
      <c r="D380" s="147" t="s">
        <v>973</v>
      </c>
      <c r="E380" s="121">
        <v>2317</v>
      </c>
      <c r="F380" s="120">
        <v>0</v>
      </c>
    </row>
    <row r="381" spans="1:6" ht="24">
      <c r="A381" s="189">
        <v>140414</v>
      </c>
      <c r="B381" s="147" t="s">
        <v>599</v>
      </c>
      <c r="C381" s="175">
        <v>822400000</v>
      </c>
      <c r="D381" s="147" t="s">
        <v>974</v>
      </c>
      <c r="E381" s="121">
        <v>186</v>
      </c>
      <c r="F381" s="120">
        <v>0</v>
      </c>
    </row>
    <row r="382" spans="1:6" ht="12">
      <c r="A382" s="189">
        <v>140414</v>
      </c>
      <c r="B382" s="147" t="s">
        <v>599</v>
      </c>
      <c r="C382" s="175">
        <v>822500000</v>
      </c>
      <c r="D382" s="147" t="s">
        <v>975</v>
      </c>
      <c r="E382" s="121">
        <v>234</v>
      </c>
      <c r="F382" s="120">
        <v>0</v>
      </c>
    </row>
    <row r="383" spans="1:6" ht="24">
      <c r="A383" s="189">
        <v>140414</v>
      </c>
      <c r="B383" s="147" t="s">
        <v>599</v>
      </c>
      <c r="C383" s="147">
        <v>828200000</v>
      </c>
      <c r="D383" s="147" t="s">
        <v>976</v>
      </c>
      <c r="E383" s="121">
        <v>2408</v>
      </c>
      <c r="F383" s="120">
        <v>0</v>
      </c>
    </row>
    <row r="384" spans="1:6" ht="12">
      <c r="A384" s="189">
        <v>140414</v>
      </c>
      <c r="B384" s="147" t="s">
        <v>599</v>
      </c>
      <c r="C384" s="175">
        <v>828600000</v>
      </c>
      <c r="D384" s="147" t="s">
        <v>977</v>
      </c>
      <c r="E384" s="121">
        <v>380</v>
      </c>
      <c r="F384" s="120">
        <v>0</v>
      </c>
    </row>
    <row r="385" spans="1:6" ht="12">
      <c r="A385" s="190">
        <v>140701</v>
      </c>
      <c r="B385" s="176" t="s">
        <v>2739</v>
      </c>
      <c r="C385" s="175">
        <v>123176000</v>
      </c>
      <c r="D385" s="177" t="s">
        <v>2740</v>
      </c>
      <c r="E385" s="121">
        <v>177246</v>
      </c>
      <c r="F385" s="120">
        <v>0</v>
      </c>
    </row>
    <row r="386" spans="1:6" ht="12">
      <c r="A386" s="190">
        <v>140701</v>
      </c>
      <c r="B386" s="176" t="s">
        <v>2739</v>
      </c>
      <c r="C386" s="164" t="s">
        <v>2741</v>
      </c>
      <c r="D386" s="177" t="s">
        <v>2742</v>
      </c>
      <c r="E386" s="121">
        <v>28916</v>
      </c>
      <c r="F386" s="120">
        <v>0</v>
      </c>
    </row>
    <row r="387" spans="1:6" ht="24">
      <c r="A387" s="190">
        <v>141303</v>
      </c>
      <c r="B387" s="176" t="s">
        <v>2743</v>
      </c>
      <c r="C387" s="164" t="s">
        <v>2741</v>
      </c>
      <c r="D387" s="177" t="s">
        <v>2742</v>
      </c>
      <c r="E387" s="121">
        <v>162109</v>
      </c>
      <c r="F387" s="120">
        <v>0</v>
      </c>
    </row>
    <row r="388" spans="1:6" ht="12">
      <c r="A388" s="190">
        <v>142003</v>
      </c>
      <c r="B388" s="176" t="s">
        <v>978</v>
      </c>
      <c r="C388" s="164" t="s">
        <v>979</v>
      </c>
      <c r="D388" s="177" t="s">
        <v>980</v>
      </c>
      <c r="E388" s="121">
        <v>29134317</v>
      </c>
      <c r="F388" s="120">
        <v>0</v>
      </c>
    </row>
    <row r="389" spans="1:6" ht="12">
      <c r="A389" s="190">
        <v>142003</v>
      </c>
      <c r="B389" s="176" t="s">
        <v>978</v>
      </c>
      <c r="C389" s="165" t="s">
        <v>981</v>
      </c>
      <c r="D389" s="177" t="s">
        <v>982</v>
      </c>
      <c r="E389" s="121">
        <v>1559038</v>
      </c>
      <c r="F389" s="120">
        <v>0</v>
      </c>
    </row>
    <row r="390" spans="1:6" ht="12">
      <c r="A390" s="190">
        <v>142003</v>
      </c>
      <c r="B390" s="176" t="s">
        <v>978</v>
      </c>
      <c r="C390" s="164" t="s">
        <v>983</v>
      </c>
      <c r="D390" s="177" t="s">
        <v>984</v>
      </c>
      <c r="E390" s="121">
        <v>1056508</v>
      </c>
      <c r="F390" s="120">
        <v>0</v>
      </c>
    </row>
    <row r="391" spans="1:6" ht="12">
      <c r="A391" s="190">
        <v>142504</v>
      </c>
      <c r="B391" s="176" t="s">
        <v>2744</v>
      </c>
      <c r="C391" s="164" t="s">
        <v>2745</v>
      </c>
      <c r="D391" s="177" t="s">
        <v>2746</v>
      </c>
      <c r="E391" s="121">
        <v>29465</v>
      </c>
      <c r="F391" s="120">
        <v>0</v>
      </c>
    </row>
    <row r="392" spans="1:6" ht="12">
      <c r="A392" s="190">
        <v>224625</v>
      </c>
      <c r="B392" s="178" t="s">
        <v>985</v>
      </c>
      <c r="C392" s="166" t="s">
        <v>986</v>
      </c>
      <c r="D392" s="179" t="s">
        <v>987</v>
      </c>
      <c r="E392" s="121">
        <v>27433525</v>
      </c>
      <c r="F392" s="120">
        <v>0</v>
      </c>
    </row>
    <row r="393" spans="1:6" ht="24">
      <c r="A393" s="190">
        <v>240304</v>
      </c>
      <c r="B393" s="178" t="s">
        <v>988</v>
      </c>
      <c r="C393" s="167" t="s">
        <v>989</v>
      </c>
      <c r="D393" s="179" t="s">
        <v>990</v>
      </c>
      <c r="E393" s="121">
        <v>82593721</v>
      </c>
      <c r="F393" s="120">
        <v>0</v>
      </c>
    </row>
    <row r="394" spans="1:6" ht="12">
      <c r="A394" s="191">
        <v>240314</v>
      </c>
      <c r="B394" s="149" t="s">
        <v>991</v>
      </c>
      <c r="C394" s="168">
        <v>110505000</v>
      </c>
      <c r="D394" s="147" t="s">
        <v>992</v>
      </c>
      <c r="E394" s="121">
        <v>46387188</v>
      </c>
      <c r="F394" s="120">
        <v>0</v>
      </c>
    </row>
    <row r="395" spans="1:6" ht="12">
      <c r="A395" s="190">
        <v>240314</v>
      </c>
      <c r="B395" s="171" t="s">
        <v>991</v>
      </c>
      <c r="C395" s="169">
        <v>110808000</v>
      </c>
      <c r="D395" s="178" t="s">
        <v>993</v>
      </c>
      <c r="E395" s="121">
        <v>10977284</v>
      </c>
      <c r="F395" s="120">
        <v>0</v>
      </c>
    </row>
    <row r="396" spans="1:6" ht="12">
      <c r="A396" s="190">
        <v>240314</v>
      </c>
      <c r="B396" s="171" t="s">
        <v>991</v>
      </c>
      <c r="C396" s="169">
        <v>111313000</v>
      </c>
      <c r="D396" s="178" t="s">
        <v>994</v>
      </c>
      <c r="E396" s="121">
        <v>19841582</v>
      </c>
      <c r="F396" s="120">
        <v>0</v>
      </c>
    </row>
    <row r="397" spans="1:6" ht="12">
      <c r="A397" s="190">
        <v>240314</v>
      </c>
      <c r="B397" s="171" t="s">
        <v>991</v>
      </c>
      <c r="C397" s="169">
        <v>111515000</v>
      </c>
      <c r="D397" s="178" t="s">
        <v>995</v>
      </c>
      <c r="E397" s="121">
        <v>21960228</v>
      </c>
      <c r="F397" s="120">
        <v>0</v>
      </c>
    </row>
    <row r="398" spans="1:6" ht="12">
      <c r="A398" s="190">
        <v>240314</v>
      </c>
      <c r="B398" s="171" t="s">
        <v>991</v>
      </c>
      <c r="C398" s="169">
        <v>111717000</v>
      </c>
      <c r="D398" s="178" t="s">
        <v>996</v>
      </c>
      <c r="E398" s="121">
        <v>10492514</v>
      </c>
      <c r="F398" s="120">
        <v>0</v>
      </c>
    </row>
    <row r="399" spans="1:6" ht="12">
      <c r="A399" s="190">
        <v>240314</v>
      </c>
      <c r="B399" s="171" t="s">
        <v>991</v>
      </c>
      <c r="C399" s="169">
        <v>111818000</v>
      </c>
      <c r="D399" s="178" t="s">
        <v>997</v>
      </c>
      <c r="E399" s="121">
        <v>5553295</v>
      </c>
      <c r="F399" s="120">
        <v>0</v>
      </c>
    </row>
    <row r="400" spans="1:6" ht="12">
      <c r="A400" s="190">
        <v>240314</v>
      </c>
      <c r="B400" s="171" t="s">
        <v>991</v>
      </c>
      <c r="C400" s="169">
        <v>111919000</v>
      </c>
      <c r="D400" s="178" t="s">
        <v>998</v>
      </c>
      <c r="E400" s="121">
        <v>19658518</v>
      </c>
      <c r="F400" s="120">
        <v>0</v>
      </c>
    </row>
    <row r="401" spans="1:6" ht="12">
      <c r="A401" s="190">
        <v>240314</v>
      </c>
      <c r="B401" s="171" t="s">
        <v>991</v>
      </c>
      <c r="C401" s="169">
        <v>112020000</v>
      </c>
      <c r="D401" s="178" t="s">
        <v>999</v>
      </c>
      <c r="E401" s="121">
        <v>12049259</v>
      </c>
      <c r="F401" s="120">
        <v>0</v>
      </c>
    </row>
    <row r="402" spans="1:6" ht="12">
      <c r="A402" s="190">
        <v>240314</v>
      </c>
      <c r="B402" s="171" t="s">
        <v>991</v>
      </c>
      <c r="C402" s="169">
        <v>112727000</v>
      </c>
      <c r="D402" s="178" t="s">
        <v>1000</v>
      </c>
      <c r="E402" s="121">
        <v>19333259</v>
      </c>
      <c r="F402" s="120">
        <v>0</v>
      </c>
    </row>
    <row r="403" spans="1:6" ht="12">
      <c r="A403" s="190">
        <v>240314</v>
      </c>
      <c r="B403" s="171" t="s">
        <v>991</v>
      </c>
      <c r="C403" s="169">
        <v>112323000</v>
      </c>
      <c r="D403" s="178" t="s">
        <v>1001</v>
      </c>
      <c r="E403" s="121">
        <v>30610761</v>
      </c>
      <c r="F403" s="120">
        <v>0</v>
      </c>
    </row>
    <row r="404" spans="1:6" ht="12">
      <c r="A404" s="190">
        <v>240314</v>
      </c>
      <c r="B404" s="171" t="s">
        <v>991</v>
      </c>
      <c r="C404" s="169">
        <v>112525000</v>
      </c>
      <c r="D404" s="178" t="s">
        <v>2757</v>
      </c>
      <c r="E404" s="121">
        <v>11652463</v>
      </c>
      <c r="F404" s="120">
        <v>0</v>
      </c>
    </row>
    <row r="405" spans="1:6" ht="12">
      <c r="A405" s="190">
        <v>240314</v>
      </c>
      <c r="B405" s="171" t="s">
        <v>991</v>
      </c>
      <c r="C405" s="169">
        <v>114141000</v>
      </c>
      <c r="D405" s="178" t="s">
        <v>1002</v>
      </c>
      <c r="E405" s="121">
        <v>13143159</v>
      </c>
      <c r="F405" s="120">
        <v>0</v>
      </c>
    </row>
    <row r="406" spans="1:6" ht="12">
      <c r="A406" s="190">
        <v>240314</v>
      </c>
      <c r="B406" s="171" t="s">
        <v>991</v>
      </c>
      <c r="C406" s="169">
        <v>114444000</v>
      </c>
      <c r="D406" s="178" t="s">
        <v>1003</v>
      </c>
      <c r="E406" s="121">
        <v>8882520</v>
      </c>
      <c r="F406" s="120">
        <v>0</v>
      </c>
    </row>
    <row r="407" spans="1:6" ht="12">
      <c r="A407" s="190">
        <v>240314</v>
      </c>
      <c r="B407" s="171" t="s">
        <v>991</v>
      </c>
      <c r="C407" s="169">
        <v>114747000</v>
      </c>
      <c r="D407" s="178" t="s">
        <v>1004</v>
      </c>
      <c r="E407" s="121">
        <v>15436804</v>
      </c>
      <c r="F407" s="120">
        <v>0</v>
      </c>
    </row>
    <row r="408" spans="1:6" ht="12">
      <c r="A408" s="190">
        <v>240314</v>
      </c>
      <c r="B408" s="171" t="s">
        <v>991</v>
      </c>
      <c r="C408" s="169">
        <v>115050000</v>
      </c>
      <c r="D408" s="178" t="s">
        <v>1005</v>
      </c>
      <c r="E408" s="121">
        <v>7364564</v>
      </c>
      <c r="F408" s="120">
        <v>0</v>
      </c>
    </row>
    <row r="409" spans="1:6" ht="12">
      <c r="A409" s="190">
        <v>240314</v>
      </c>
      <c r="B409" s="171" t="s">
        <v>991</v>
      </c>
      <c r="C409" s="169">
        <v>115252000</v>
      </c>
      <c r="D409" s="178" t="s">
        <v>1006</v>
      </c>
      <c r="E409" s="121">
        <v>24730978</v>
      </c>
      <c r="F409" s="120">
        <v>0</v>
      </c>
    </row>
    <row r="410" spans="1:6" ht="12">
      <c r="A410" s="190">
        <v>240314</v>
      </c>
      <c r="B410" s="171" t="s">
        <v>991</v>
      </c>
      <c r="C410" s="169">
        <v>115454000</v>
      </c>
      <c r="D410" s="178" t="s">
        <v>1007</v>
      </c>
      <c r="E410" s="121">
        <v>12967816</v>
      </c>
      <c r="F410" s="120">
        <v>0</v>
      </c>
    </row>
    <row r="411" spans="1:6" ht="12">
      <c r="A411" s="190">
        <v>240314</v>
      </c>
      <c r="B411" s="171" t="s">
        <v>991</v>
      </c>
      <c r="C411" s="169">
        <v>116363000</v>
      </c>
      <c r="D411" s="178" t="s">
        <v>1008</v>
      </c>
      <c r="E411" s="121">
        <v>4695703</v>
      </c>
      <c r="F411" s="120">
        <v>0</v>
      </c>
    </row>
    <row r="412" spans="1:6" ht="12">
      <c r="A412" s="190">
        <v>240314</v>
      </c>
      <c r="B412" s="171" t="s">
        <v>991</v>
      </c>
      <c r="C412" s="169">
        <v>116666000</v>
      </c>
      <c r="D412" s="178" t="s">
        <v>1009</v>
      </c>
      <c r="E412" s="121">
        <v>5932569</v>
      </c>
      <c r="F412" s="120">
        <v>0</v>
      </c>
    </row>
    <row r="413" spans="1:6" ht="12">
      <c r="A413" s="190">
        <v>240314</v>
      </c>
      <c r="B413" s="171" t="s">
        <v>991</v>
      </c>
      <c r="C413" s="169">
        <v>116868000</v>
      </c>
      <c r="D413" s="178" t="s">
        <v>1010</v>
      </c>
      <c r="E413" s="121">
        <v>20363392</v>
      </c>
      <c r="F413" s="120">
        <v>0</v>
      </c>
    </row>
    <row r="414" spans="1:6" ht="12">
      <c r="A414" s="190">
        <v>240314</v>
      </c>
      <c r="B414" s="171" t="s">
        <v>991</v>
      </c>
      <c r="C414" s="169">
        <v>117070000</v>
      </c>
      <c r="D414" s="178" t="s">
        <v>1011</v>
      </c>
      <c r="E414" s="121">
        <v>12468414</v>
      </c>
      <c r="F414" s="120">
        <v>0</v>
      </c>
    </row>
    <row r="415" spans="1:6" ht="12">
      <c r="A415" s="190">
        <v>240314</v>
      </c>
      <c r="B415" s="171" t="s">
        <v>991</v>
      </c>
      <c r="C415" s="169">
        <v>117373000</v>
      </c>
      <c r="D415" s="178" t="s">
        <v>1012</v>
      </c>
      <c r="E415" s="121">
        <v>18571352</v>
      </c>
      <c r="F415" s="120">
        <v>0</v>
      </c>
    </row>
    <row r="416" spans="1:6" ht="12">
      <c r="A416" s="190">
        <v>240314</v>
      </c>
      <c r="B416" s="171" t="s">
        <v>991</v>
      </c>
      <c r="C416" s="169">
        <v>117676000</v>
      </c>
      <c r="D416" s="178" t="s">
        <v>1013</v>
      </c>
      <c r="E416" s="121">
        <v>20335721</v>
      </c>
      <c r="F416" s="120">
        <v>0</v>
      </c>
    </row>
    <row r="417" spans="1:6" ht="12">
      <c r="A417" s="190">
        <v>240314</v>
      </c>
      <c r="B417" s="171" t="s">
        <v>991</v>
      </c>
      <c r="C417" s="169">
        <v>118181000</v>
      </c>
      <c r="D417" s="178" t="s">
        <v>1014</v>
      </c>
      <c r="E417" s="121">
        <v>5530854</v>
      </c>
      <c r="F417" s="120">
        <v>0</v>
      </c>
    </row>
    <row r="418" spans="1:6" ht="12">
      <c r="A418" s="190">
        <v>240314</v>
      </c>
      <c r="B418" s="171" t="s">
        <v>991</v>
      </c>
      <c r="C418" s="169">
        <v>118585000</v>
      </c>
      <c r="D418" s="178" t="s">
        <v>1015</v>
      </c>
      <c r="E418" s="121">
        <v>6301408</v>
      </c>
      <c r="F418" s="120">
        <v>0</v>
      </c>
    </row>
    <row r="419" spans="1:6" ht="12">
      <c r="A419" s="190">
        <v>240314</v>
      </c>
      <c r="B419" s="171" t="s">
        <v>991</v>
      </c>
      <c r="C419" s="169">
        <v>118686000</v>
      </c>
      <c r="D419" s="178" t="s">
        <v>1016</v>
      </c>
      <c r="E419" s="121">
        <v>8337913</v>
      </c>
      <c r="F419" s="120">
        <v>0</v>
      </c>
    </row>
    <row r="420" spans="1:6" ht="12">
      <c r="A420" s="190">
        <v>240314</v>
      </c>
      <c r="B420" s="171" t="s">
        <v>991</v>
      </c>
      <c r="C420" s="169">
        <v>118888000</v>
      </c>
      <c r="D420" s="178" t="s">
        <v>1017</v>
      </c>
      <c r="E420" s="121">
        <v>1411914</v>
      </c>
      <c r="F420" s="120">
        <v>0</v>
      </c>
    </row>
    <row r="421" spans="1:6" ht="12">
      <c r="A421" s="190">
        <v>240314</v>
      </c>
      <c r="B421" s="171" t="s">
        <v>991</v>
      </c>
      <c r="C421" s="169">
        <v>119191000</v>
      </c>
      <c r="D421" s="178" t="s">
        <v>1018</v>
      </c>
      <c r="E421" s="121">
        <v>2823512</v>
      </c>
      <c r="F421" s="120">
        <v>0</v>
      </c>
    </row>
    <row r="422" spans="1:6" ht="12">
      <c r="A422" s="190">
        <v>240314</v>
      </c>
      <c r="B422" s="171" t="s">
        <v>991</v>
      </c>
      <c r="C422" s="169">
        <v>119494000</v>
      </c>
      <c r="D422" s="178" t="s">
        <v>1019</v>
      </c>
      <c r="E422" s="121">
        <v>1416960</v>
      </c>
      <c r="F422" s="120">
        <v>0</v>
      </c>
    </row>
    <row r="423" spans="1:6" ht="12">
      <c r="A423" s="190">
        <v>240314</v>
      </c>
      <c r="B423" s="171" t="s">
        <v>991</v>
      </c>
      <c r="C423" s="169">
        <v>119595000</v>
      </c>
      <c r="D423" s="178" t="s">
        <v>1020</v>
      </c>
      <c r="E423" s="121">
        <v>3064975</v>
      </c>
      <c r="F423" s="120">
        <v>0</v>
      </c>
    </row>
    <row r="424" spans="1:6" ht="12">
      <c r="A424" s="190">
        <v>240314</v>
      </c>
      <c r="B424" s="171" t="s">
        <v>991</v>
      </c>
      <c r="C424" s="169">
        <v>119797000</v>
      </c>
      <c r="D424" s="178" t="s">
        <v>1021</v>
      </c>
      <c r="E424" s="121">
        <v>1355798</v>
      </c>
      <c r="F424" s="120">
        <v>0</v>
      </c>
    </row>
    <row r="425" spans="1:6" ht="12">
      <c r="A425" s="190">
        <v>240314</v>
      </c>
      <c r="B425" s="171" t="s">
        <v>991</v>
      </c>
      <c r="C425" s="169">
        <v>119999000</v>
      </c>
      <c r="D425" s="178" t="s">
        <v>1022</v>
      </c>
      <c r="E425" s="121">
        <v>2290572</v>
      </c>
      <c r="F425" s="120">
        <v>0</v>
      </c>
    </row>
    <row r="426" spans="1:6" ht="12">
      <c r="A426" s="190">
        <v>240314</v>
      </c>
      <c r="B426" s="171" t="s">
        <v>991</v>
      </c>
      <c r="C426" s="169">
        <v>210111001</v>
      </c>
      <c r="D426" s="178" t="s">
        <v>2760</v>
      </c>
      <c r="E426" s="121">
        <v>74596264</v>
      </c>
      <c r="F426" s="120">
        <v>0</v>
      </c>
    </row>
    <row r="427" spans="1:6" ht="12">
      <c r="A427" s="190">
        <v>240314</v>
      </c>
      <c r="B427" s="171" t="s">
        <v>991</v>
      </c>
      <c r="C427" s="169">
        <v>210108001</v>
      </c>
      <c r="D427" s="178" t="s">
        <v>1023</v>
      </c>
      <c r="E427" s="121">
        <v>14186589</v>
      </c>
      <c r="F427" s="120">
        <v>0</v>
      </c>
    </row>
    <row r="428" spans="1:6" ht="12">
      <c r="A428" s="190">
        <v>240314</v>
      </c>
      <c r="B428" s="171" t="s">
        <v>991</v>
      </c>
      <c r="C428" s="169">
        <v>210113001</v>
      </c>
      <c r="D428" s="178" t="s">
        <v>1024</v>
      </c>
      <c r="E428" s="121">
        <v>13873778</v>
      </c>
      <c r="F428" s="120">
        <v>0</v>
      </c>
    </row>
    <row r="429" spans="1:6" ht="12">
      <c r="A429" s="190">
        <v>240314</v>
      </c>
      <c r="B429" s="171" t="s">
        <v>991</v>
      </c>
      <c r="C429" s="169">
        <v>210147001</v>
      </c>
      <c r="D429" s="178" t="s">
        <v>1025</v>
      </c>
      <c r="E429" s="121">
        <v>6420201</v>
      </c>
      <c r="F429" s="120">
        <v>0</v>
      </c>
    </row>
    <row r="430" spans="1:6" ht="12">
      <c r="A430" s="190">
        <v>240314</v>
      </c>
      <c r="B430" s="171" t="s">
        <v>991</v>
      </c>
      <c r="C430" s="169" t="s">
        <v>1026</v>
      </c>
      <c r="D430" s="179" t="s">
        <v>1027</v>
      </c>
      <c r="E430" s="121">
        <v>27000313</v>
      </c>
      <c r="F430" s="120">
        <v>0</v>
      </c>
    </row>
    <row r="431" spans="1:6" ht="12">
      <c r="A431" s="190">
        <v>240314</v>
      </c>
      <c r="B431" s="171" t="s">
        <v>991</v>
      </c>
      <c r="C431" s="169" t="s">
        <v>1028</v>
      </c>
      <c r="D431" s="179" t="s">
        <v>1029</v>
      </c>
      <c r="E431" s="121">
        <v>4524186</v>
      </c>
      <c r="F431" s="120">
        <v>0</v>
      </c>
    </row>
    <row r="432" spans="1:6" ht="12">
      <c r="A432" s="190">
        <v>240314</v>
      </c>
      <c r="B432" s="171" t="s">
        <v>991</v>
      </c>
      <c r="C432" s="169" t="s">
        <v>1030</v>
      </c>
      <c r="D432" s="179" t="s">
        <v>1031</v>
      </c>
      <c r="E432" s="121">
        <v>1394122</v>
      </c>
      <c r="F432" s="120">
        <v>0</v>
      </c>
    </row>
    <row r="433" spans="1:6" ht="12">
      <c r="A433" s="190">
        <v>240314</v>
      </c>
      <c r="B433" s="171" t="s">
        <v>991</v>
      </c>
      <c r="C433" s="169">
        <v>216005360</v>
      </c>
      <c r="D433" s="179" t="s">
        <v>1032</v>
      </c>
      <c r="E433" s="121">
        <v>2794878</v>
      </c>
      <c r="F433" s="120">
        <v>0</v>
      </c>
    </row>
    <row r="434" spans="1:6" ht="12">
      <c r="A434" s="190">
        <v>240314</v>
      </c>
      <c r="B434" s="171" t="s">
        <v>991</v>
      </c>
      <c r="C434" s="169" t="s">
        <v>1033</v>
      </c>
      <c r="D434" s="179" t="s">
        <v>1034</v>
      </c>
      <c r="E434" s="121">
        <v>2985027</v>
      </c>
      <c r="F434" s="120">
        <v>0</v>
      </c>
    </row>
    <row r="435" spans="1:6" ht="12">
      <c r="A435" s="190">
        <v>240314</v>
      </c>
      <c r="B435" s="171" t="s">
        <v>991</v>
      </c>
      <c r="C435" s="169" t="s">
        <v>1035</v>
      </c>
      <c r="D435" s="179" t="s">
        <v>1036</v>
      </c>
      <c r="E435" s="121">
        <v>3636478</v>
      </c>
      <c r="F435" s="120">
        <v>0</v>
      </c>
    </row>
    <row r="436" spans="1:6" ht="12">
      <c r="A436" s="190">
        <v>240314</v>
      </c>
      <c r="B436" s="171" t="s">
        <v>991</v>
      </c>
      <c r="C436" s="169" t="s">
        <v>1037</v>
      </c>
      <c r="D436" s="179" t="s">
        <v>1038</v>
      </c>
      <c r="E436" s="121">
        <v>2290267</v>
      </c>
      <c r="F436" s="120">
        <v>0</v>
      </c>
    </row>
    <row r="437" spans="1:6" ht="12">
      <c r="A437" s="190">
        <v>240314</v>
      </c>
      <c r="B437" s="171" t="s">
        <v>991</v>
      </c>
      <c r="C437" s="169" t="s">
        <v>1039</v>
      </c>
      <c r="D437" s="179" t="s">
        <v>1040</v>
      </c>
      <c r="E437" s="121">
        <v>3152589</v>
      </c>
      <c r="F437" s="120">
        <v>0</v>
      </c>
    </row>
    <row r="438" spans="1:6" ht="12">
      <c r="A438" s="190">
        <v>240314</v>
      </c>
      <c r="B438" s="171" t="s">
        <v>991</v>
      </c>
      <c r="C438" s="169" t="s">
        <v>1041</v>
      </c>
      <c r="D438" s="179" t="s">
        <v>1042</v>
      </c>
      <c r="E438" s="121">
        <v>2120766</v>
      </c>
      <c r="F438" s="120">
        <v>0</v>
      </c>
    </row>
    <row r="439" spans="1:6" ht="12">
      <c r="A439" s="190">
        <v>240314</v>
      </c>
      <c r="B439" s="171" t="s">
        <v>991</v>
      </c>
      <c r="C439" s="169">
        <v>215915759</v>
      </c>
      <c r="D439" s="179" t="s">
        <v>1043</v>
      </c>
      <c r="E439" s="121">
        <v>2105446</v>
      </c>
      <c r="F439" s="120">
        <v>0</v>
      </c>
    </row>
    <row r="440" spans="1:6" ht="12">
      <c r="A440" s="190">
        <v>240314</v>
      </c>
      <c r="B440" s="171" t="s">
        <v>991</v>
      </c>
      <c r="C440" s="169" t="s">
        <v>1044</v>
      </c>
      <c r="D440" s="179" t="s">
        <v>1045</v>
      </c>
      <c r="E440" s="121">
        <v>6434565</v>
      </c>
      <c r="F440" s="120">
        <v>0</v>
      </c>
    </row>
    <row r="441" spans="1:6" ht="12">
      <c r="A441" s="190">
        <v>240314</v>
      </c>
      <c r="B441" s="171" t="s">
        <v>991</v>
      </c>
      <c r="C441" s="169" t="s">
        <v>1046</v>
      </c>
      <c r="D441" s="179" t="s">
        <v>1047</v>
      </c>
      <c r="E441" s="121">
        <v>3342946</v>
      </c>
      <c r="F441" s="120">
        <v>0</v>
      </c>
    </row>
    <row r="442" spans="1:6" ht="12">
      <c r="A442" s="190">
        <v>240314</v>
      </c>
      <c r="B442" s="171" t="s">
        <v>991</v>
      </c>
      <c r="C442" s="169" t="s">
        <v>1048</v>
      </c>
      <c r="D442" s="179" t="s">
        <v>1049</v>
      </c>
      <c r="E442" s="121">
        <v>4398355</v>
      </c>
      <c r="F442" s="120">
        <v>0</v>
      </c>
    </row>
    <row r="443" spans="1:6" ht="12">
      <c r="A443" s="190">
        <v>240314</v>
      </c>
      <c r="B443" s="171" t="s">
        <v>991</v>
      </c>
      <c r="C443" s="169" t="s">
        <v>1050</v>
      </c>
      <c r="D443" s="179" t="s">
        <v>1051</v>
      </c>
      <c r="E443" s="121">
        <v>5562725</v>
      </c>
      <c r="F443" s="120">
        <v>0</v>
      </c>
    </row>
    <row r="444" spans="1:6" ht="12">
      <c r="A444" s="190">
        <v>240314</v>
      </c>
      <c r="B444" s="171" t="s">
        <v>991</v>
      </c>
      <c r="C444" s="169">
        <v>210123001</v>
      </c>
      <c r="D444" s="179" t="s">
        <v>1052</v>
      </c>
      <c r="E444" s="121">
        <v>6703196</v>
      </c>
      <c r="F444" s="120">
        <v>0</v>
      </c>
    </row>
    <row r="445" spans="1:6" ht="12">
      <c r="A445" s="190">
        <v>240314</v>
      </c>
      <c r="B445" s="171" t="s">
        <v>991</v>
      </c>
      <c r="C445" s="169" t="s">
        <v>1053</v>
      </c>
      <c r="D445" s="179" t="s">
        <v>1054</v>
      </c>
      <c r="E445" s="121">
        <v>2242187</v>
      </c>
      <c r="F445" s="120">
        <v>0</v>
      </c>
    </row>
    <row r="446" spans="1:6" ht="12">
      <c r="A446" s="190">
        <v>240314</v>
      </c>
      <c r="B446" s="171" t="s">
        <v>991</v>
      </c>
      <c r="C446" s="169" t="s">
        <v>1055</v>
      </c>
      <c r="D446" s="179" t="s">
        <v>1056</v>
      </c>
      <c r="E446" s="121">
        <v>1910746</v>
      </c>
      <c r="F446" s="120">
        <v>0</v>
      </c>
    </row>
    <row r="447" spans="1:6" ht="12">
      <c r="A447" s="190">
        <v>240314</v>
      </c>
      <c r="B447" s="171" t="s">
        <v>991</v>
      </c>
      <c r="C447" s="169" t="s">
        <v>1057</v>
      </c>
      <c r="D447" s="179" t="s">
        <v>1058</v>
      </c>
      <c r="E447" s="121">
        <v>1569806</v>
      </c>
      <c r="F447" s="120">
        <v>0</v>
      </c>
    </row>
    <row r="448" spans="1:6" ht="12">
      <c r="A448" s="190">
        <v>240314</v>
      </c>
      <c r="B448" s="171" t="s">
        <v>991</v>
      </c>
      <c r="C448" s="169" t="s">
        <v>1059</v>
      </c>
      <c r="D448" s="179" t="s">
        <v>1060</v>
      </c>
      <c r="E448" s="121">
        <v>1210832</v>
      </c>
      <c r="F448" s="120">
        <v>0</v>
      </c>
    </row>
    <row r="449" spans="1:6" ht="12">
      <c r="A449" s="190">
        <v>240314</v>
      </c>
      <c r="B449" s="171" t="s">
        <v>991</v>
      </c>
      <c r="C449" s="169" t="s">
        <v>1061</v>
      </c>
      <c r="D449" s="179" t="s">
        <v>1062</v>
      </c>
      <c r="E449" s="121">
        <v>4903897</v>
      </c>
      <c r="F449" s="120">
        <v>0</v>
      </c>
    </row>
    <row r="450" spans="1:6" ht="12">
      <c r="A450" s="190">
        <v>240314</v>
      </c>
      <c r="B450" s="171" t="s">
        <v>991</v>
      </c>
      <c r="C450" s="169" t="s">
        <v>1063</v>
      </c>
      <c r="D450" s="179" t="s">
        <v>1064</v>
      </c>
      <c r="E450" s="121">
        <v>6101413</v>
      </c>
      <c r="F450" s="120">
        <v>0</v>
      </c>
    </row>
    <row r="451" spans="1:6" ht="12">
      <c r="A451" s="190">
        <v>240314</v>
      </c>
      <c r="B451" s="171" t="s">
        <v>991</v>
      </c>
      <c r="C451" s="169" t="s">
        <v>1065</v>
      </c>
      <c r="D451" s="179" t="s">
        <v>1066</v>
      </c>
      <c r="E451" s="121">
        <v>2475352</v>
      </c>
      <c r="F451" s="120">
        <v>0</v>
      </c>
    </row>
    <row r="452" spans="1:6" ht="12">
      <c r="A452" s="190">
        <v>240314</v>
      </c>
      <c r="B452" s="171" t="s">
        <v>991</v>
      </c>
      <c r="C452" s="169" t="s">
        <v>1067</v>
      </c>
      <c r="D452" s="179" t="s">
        <v>1068</v>
      </c>
      <c r="E452" s="121">
        <v>2190355</v>
      </c>
      <c r="F452" s="120">
        <v>0</v>
      </c>
    </row>
    <row r="453" spans="1:6" ht="12">
      <c r="A453" s="190">
        <v>240314</v>
      </c>
      <c r="B453" s="171" t="s">
        <v>991</v>
      </c>
      <c r="C453" s="169">
        <v>210150001</v>
      </c>
      <c r="D453" s="179" t="s">
        <v>1069</v>
      </c>
      <c r="E453" s="121">
        <v>6453296</v>
      </c>
      <c r="F453" s="120">
        <v>0</v>
      </c>
    </row>
    <row r="454" spans="1:6" ht="12">
      <c r="A454" s="190">
        <v>240314</v>
      </c>
      <c r="B454" s="171" t="s">
        <v>991</v>
      </c>
      <c r="C454" s="169" t="s">
        <v>1070</v>
      </c>
      <c r="D454" s="179" t="s">
        <v>1071</v>
      </c>
      <c r="E454" s="121">
        <v>7207694</v>
      </c>
      <c r="F454" s="120">
        <v>0</v>
      </c>
    </row>
    <row r="455" spans="1:6" ht="12">
      <c r="A455" s="190">
        <v>240314</v>
      </c>
      <c r="B455" s="171" t="s">
        <v>991</v>
      </c>
      <c r="C455" s="169">
        <v>213552835</v>
      </c>
      <c r="D455" s="179" t="s">
        <v>1072</v>
      </c>
      <c r="E455" s="121">
        <v>3823058</v>
      </c>
      <c r="F455" s="120">
        <v>0</v>
      </c>
    </row>
    <row r="456" spans="1:6" ht="12">
      <c r="A456" s="190">
        <v>240314</v>
      </c>
      <c r="B456" s="171" t="s">
        <v>991</v>
      </c>
      <c r="C456" s="169">
        <v>210154001</v>
      </c>
      <c r="D456" s="179" t="s">
        <v>1073</v>
      </c>
      <c r="E456" s="121">
        <v>9869703</v>
      </c>
      <c r="F456" s="120">
        <v>0</v>
      </c>
    </row>
    <row r="457" spans="1:6" ht="12">
      <c r="A457" s="190">
        <v>240314</v>
      </c>
      <c r="B457" s="171" t="s">
        <v>991</v>
      </c>
      <c r="C457" s="169">
        <v>210163001</v>
      </c>
      <c r="D457" s="179" t="s">
        <v>1074</v>
      </c>
      <c r="E457" s="121">
        <v>4204449</v>
      </c>
      <c r="F457" s="120">
        <v>0</v>
      </c>
    </row>
    <row r="458" spans="1:6" ht="12">
      <c r="A458" s="190">
        <v>240314</v>
      </c>
      <c r="B458" s="171" t="s">
        <v>991</v>
      </c>
      <c r="C458" s="169">
        <v>210166001</v>
      </c>
      <c r="D458" s="179" t="s">
        <v>1075</v>
      </c>
      <c r="E458" s="121">
        <v>6593663</v>
      </c>
      <c r="F458" s="120">
        <v>0</v>
      </c>
    </row>
    <row r="459" spans="1:6" ht="12">
      <c r="A459" s="190">
        <v>240314</v>
      </c>
      <c r="B459" s="171" t="s">
        <v>991</v>
      </c>
      <c r="C459" s="169">
        <v>217066170</v>
      </c>
      <c r="D459" s="179" t="s">
        <v>1076</v>
      </c>
      <c r="E459" s="121">
        <v>2414651</v>
      </c>
      <c r="F459" s="120">
        <v>0</v>
      </c>
    </row>
    <row r="460" spans="1:6" ht="12">
      <c r="A460" s="190">
        <v>240314</v>
      </c>
      <c r="B460" s="171" t="s">
        <v>991</v>
      </c>
      <c r="C460" s="169" t="s">
        <v>1077</v>
      </c>
      <c r="D460" s="179" t="s">
        <v>1078</v>
      </c>
      <c r="E460" s="121">
        <v>8150832</v>
      </c>
      <c r="F460" s="120">
        <v>0</v>
      </c>
    </row>
    <row r="461" spans="1:6" ht="12">
      <c r="A461" s="190">
        <v>240314</v>
      </c>
      <c r="B461" s="171" t="s">
        <v>991</v>
      </c>
      <c r="C461" s="169" t="s">
        <v>1079</v>
      </c>
      <c r="D461" s="179" t="s">
        <v>1080</v>
      </c>
      <c r="E461" s="121">
        <v>3057650</v>
      </c>
      <c r="F461" s="120">
        <v>0</v>
      </c>
    </row>
    <row r="462" spans="1:6" ht="12">
      <c r="A462" s="190">
        <v>240314</v>
      </c>
      <c r="B462" s="171" t="s">
        <v>991</v>
      </c>
      <c r="C462" s="169" t="s">
        <v>1081</v>
      </c>
      <c r="D462" s="179" t="s">
        <v>1082</v>
      </c>
      <c r="E462" s="121">
        <v>3205880</v>
      </c>
      <c r="F462" s="120">
        <v>0</v>
      </c>
    </row>
    <row r="463" spans="1:6" ht="12">
      <c r="A463" s="190">
        <v>240314</v>
      </c>
      <c r="B463" s="171" t="s">
        <v>991</v>
      </c>
      <c r="C463" s="169" t="s">
        <v>1083</v>
      </c>
      <c r="D463" s="179" t="s">
        <v>1084</v>
      </c>
      <c r="E463" s="121">
        <v>1744993</v>
      </c>
      <c r="F463" s="120">
        <v>0</v>
      </c>
    </row>
    <row r="464" spans="1:6" ht="12">
      <c r="A464" s="190">
        <v>240314</v>
      </c>
      <c r="B464" s="171" t="s">
        <v>991</v>
      </c>
      <c r="C464" s="169">
        <v>210170001</v>
      </c>
      <c r="D464" s="179" t="s">
        <v>1085</v>
      </c>
      <c r="E464" s="121">
        <v>4264307</v>
      </c>
      <c r="F464" s="120">
        <v>0</v>
      </c>
    </row>
    <row r="465" spans="1:6" ht="12">
      <c r="A465" s="190">
        <v>240314</v>
      </c>
      <c r="B465" s="171" t="s">
        <v>991</v>
      </c>
      <c r="C465" s="169">
        <v>210173001</v>
      </c>
      <c r="D465" s="179" t="s">
        <v>1086</v>
      </c>
      <c r="E465" s="121">
        <v>6873731</v>
      </c>
      <c r="F465" s="120">
        <v>0</v>
      </c>
    </row>
    <row r="466" spans="1:6" ht="12">
      <c r="A466" s="190">
        <v>240314</v>
      </c>
      <c r="B466" s="171" t="s">
        <v>991</v>
      </c>
      <c r="C466" s="169">
        <v>210176001</v>
      </c>
      <c r="D466" s="179" t="s">
        <v>1087</v>
      </c>
      <c r="E466" s="121">
        <v>19145320</v>
      </c>
      <c r="F466" s="120">
        <v>0</v>
      </c>
    </row>
    <row r="467" spans="1:6" ht="12">
      <c r="A467" s="190">
        <v>240314</v>
      </c>
      <c r="B467" s="171" t="s">
        <v>991</v>
      </c>
      <c r="C467" s="169">
        <v>210976109</v>
      </c>
      <c r="D467" s="179" t="s">
        <v>1088</v>
      </c>
      <c r="E467" s="121">
        <v>6622534</v>
      </c>
      <c r="F467" s="120">
        <v>0</v>
      </c>
    </row>
    <row r="468" spans="1:6" ht="12">
      <c r="A468" s="190">
        <v>240314</v>
      </c>
      <c r="B468" s="171" t="s">
        <v>991</v>
      </c>
      <c r="C468" s="169">
        <v>211176111</v>
      </c>
      <c r="D468" s="179" t="s">
        <v>1089</v>
      </c>
      <c r="E468" s="121">
        <v>1592858</v>
      </c>
      <c r="F468" s="120">
        <v>0</v>
      </c>
    </row>
    <row r="469" spans="1:6" ht="12">
      <c r="A469" s="190">
        <v>240314</v>
      </c>
      <c r="B469" s="171" t="s">
        <v>991</v>
      </c>
      <c r="C469" s="169">
        <v>214776147</v>
      </c>
      <c r="D469" s="179" t="s">
        <v>1090</v>
      </c>
      <c r="E469" s="121">
        <v>1778892</v>
      </c>
      <c r="F469" s="120">
        <v>0</v>
      </c>
    </row>
    <row r="470" spans="1:6" ht="12">
      <c r="A470" s="190">
        <v>240314</v>
      </c>
      <c r="B470" s="171" t="s">
        <v>991</v>
      </c>
      <c r="C470" s="169">
        <v>212076520</v>
      </c>
      <c r="D470" s="179" t="s">
        <v>1091</v>
      </c>
      <c r="E470" s="121">
        <v>3641702</v>
      </c>
      <c r="F470" s="120">
        <v>0</v>
      </c>
    </row>
    <row r="471" spans="1:6" ht="12">
      <c r="A471" s="190">
        <v>240314</v>
      </c>
      <c r="B471" s="171" t="s">
        <v>991</v>
      </c>
      <c r="C471" s="169">
        <v>213476834</v>
      </c>
      <c r="D471" s="179" t="s">
        <v>1092</v>
      </c>
      <c r="E471" s="121">
        <v>2445821</v>
      </c>
      <c r="F471" s="120">
        <v>0</v>
      </c>
    </row>
    <row r="472" spans="1:6" ht="12">
      <c r="A472" s="190">
        <v>240314</v>
      </c>
      <c r="B472" s="171" t="s">
        <v>991</v>
      </c>
      <c r="C472" s="169" t="s">
        <v>650</v>
      </c>
      <c r="D472" s="178" t="s">
        <v>1093</v>
      </c>
      <c r="E472" s="121">
        <v>18192</v>
      </c>
      <c r="F472" s="120">
        <v>0</v>
      </c>
    </row>
    <row r="473" spans="1:6" ht="12">
      <c r="A473" s="190">
        <v>240314</v>
      </c>
      <c r="B473" s="171" t="s">
        <v>991</v>
      </c>
      <c r="C473" s="169" t="s">
        <v>1094</v>
      </c>
      <c r="D473" s="178" t="s">
        <v>1095</v>
      </c>
      <c r="E473" s="121">
        <v>2553</v>
      </c>
      <c r="F473" s="120">
        <v>0</v>
      </c>
    </row>
    <row r="474" spans="1:6" ht="12">
      <c r="A474" s="190">
        <v>240314</v>
      </c>
      <c r="B474" s="171" t="s">
        <v>991</v>
      </c>
      <c r="C474" s="169" t="s">
        <v>1096</v>
      </c>
      <c r="D474" s="178" t="s">
        <v>1097</v>
      </c>
      <c r="E474" s="121">
        <v>4342</v>
      </c>
      <c r="F474" s="120">
        <v>0</v>
      </c>
    </row>
    <row r="475" spans="1:6" ht="12">
      <c r="A475" s="190">
        <v>240314</v>
      </c>
      <c r="B475" s="171" t="s">
        <v>991</v>
      </c>
      <c r="C475" s="169" t="s">
        <v>1098</v>
      </c>
      <c r="D475" s="178" t="s">
        <v>1099</v>
      </c>
      <c r="E475" s="121">
        <v>29887</v>
      </c>
      <c r="F475" s="120">
        <v>0</v>
      </c>
    </row>
    <row r="476" spans="1:6" ht="12">
      <c r="A476" s="190">
        <v>240314</v>
      </c>
      <c r="B476" s="171" t="s">
        <v>991</v>
      </c>
      <c r="C476" s="169" t="s">
        <v>743</v>
      </c>
      <c r="D476" s="178" t="s">
        <v>1100</v>
      </c>
      <c r="E476" s="121">
        <v>24410</v>
      </c>
      <c r="F476" s="120">
        <v>0</v>
      </c>
    </row>
    <row r="477" spans="1:6" ht="12">
      <c r="A477" s="190">
        <v>240314</v>
      </c>
      <c r="B477" s="171" t="s">
        <v>991</v>
      </c>
      <c r="C477" s="169" t="s">
        <v>1101</v>
      </c>
      <c r="D477" s="178" t="s">
        <v>1102</v>
      </c>
      <c r="E477" s="121">
        <v>44506</v>
      </c>
      <c r="F477" s="120">
        <v>0</v>
      </c>
    </row>
    <row r="478" spans="1:6" ht="12">
      <c r="A478" s="190">
        <v>240314</v>
      </c>
      <c r="B478" s="171" t="s">
        <v>991</v>
      </c>
      <c r="C478" s="169" t="s">
        <v>759</v>
      </c>
      <c r="D478" s="178" t="s">
        <v>1103</v>
      </c>
      <c r="E478" s="121">
        <v>6454</v>
      </c>
      <c r="F478" s="120">
        <v>0</v>
      </c>
    </row>
    <row r="479" spans="1:6" ht="12">
      <c r="A479" s="190">
        <v>240314</v>
      </c>
      <c r="B479" s="171" t="s">
        <v>991</v>
      </c>
      <c r="C479" s="169" t="s">
        <v>1104</v>
      </c>
      <c r="D479" s="178" t="s">
        <v>1105</v>
      </c>
      <c r="E479" s="121">
        <v>13161</v>
      </c>
      <c r="F479" s="120">
        <v>0</v>
      </c>
    </row>
    <row r="480" spans="1:6" ht="12">
      <c r="A480" s="190">
        <v>240314</v>
      </c>
      <c r="B480" s="171" t="s">
        <v>991</v>
      </c>
      <c r="C480" s="169" t="s">
        <v>767</v>
      </c>
      <c r="D480" s="178" t="s">
        <v>1106</v>
      </c>
      <c r="E480" s="121">
        <v>16634</v>
      </c>
      <c r="F480" s="120">
        <v>0</v>
      </c>
    </row>
    <row r="481" spans="1:6" ht="12">
      <c r="A481" s="190">
        <v>240314</v>
      </c>
      <c r="B481" s="171" t="s">
        <v>991</v>
      </c>
      <c r="C481" s="169" t="s">
        <v>1107</v>
      </c>
      <c r="D481" s="178" t="s">
        <v>992</v>
      </c>
      <c r="E481" s="121">
        <v>26317</v>
      </c>
      <c r="F481" s="120">
        <v>0</v>
      </c>
    </row>
    <row r="482" spans="1:6" ht="12">
      <c r="A482" s="190">
        <v>240314</v>
      </c>
      <c r="B482" s="171" t="s">
        <v>991</v>
      </c>
      <c r="C482" s="169" t="s">
        <v>1108</v>
      </c>
      <c r="D482" s="178" t="s">
        <v>1109</v>
      </c>
      <c r="E482" s="121">
        <v>8257</v>
      </c>
      <c r="F482" s="120">
        <v>0</v>
      </c>
    </row>
    <row r="483" spans="1:6" ht="12">
      <c r="A483" s="190">
        <v>240314</v>
      </c>
      <c r="B483" s="171" t="s">
        <v>991</v>
      </c>
      <c r="C483" s="169" t="s">
        <v>1110</v>
      </c>
      <c r="D483" s="178" t="s">
        <v>1111</v>
      </c>
      <c r="E483" s="121">
        <v>102175</v>
      </c>
      <c r="F483" s="120">
        <v>0</v>
      </c>
    </row>
    <row r="484" spans="1:6" ht="12">
      <c r="A484" s="190">
        <v>240314</v>
      </c>
      <c r="B484" s="171" t="s">
        <v>991</v>
      </c>
      <c r="C484" s="169">
        <v>215105051</v>
      </c>
      <c r="D484" s="178" t="s">
        <v>1112</v>
      </c>
      <c r="E484" s="121">
        <v>53774</v>
      </c>
      <c r="F484" s="120">
        <v>0</v>
      </c>
    </row>
    <row r="485" spans="1:6" ht="12">
      <c r="A485" s="190">
        <v>240314</v>
      </c>
      <c r="B485" s="171" t="s">
        <v>991</v>
      </c>
      <c r="C485" s="169" t="s">
        <v>1113</v>
      </c>
      <c r="D485" s="178" t="s">
        <v>1114</v>
      </c>
      <c r="E485" s="121">
        <v>12835</v>
      </c>
      <c r="F485" s="120">
        <v>0</v>
      </c>
    </row>
    <row r="486" spans="1:6" ht="12">
      <c r="A486" s="190">
        <v>240314</v>
      </c>
      <c r="B486" s="171" t="s">
        <v>991</v>
      </c>
      <c r="C486" s="169" t="s">
        <v>1115</v>
      </c>
      <c r="D486" s="178" t="s">
        <v>1074</v>
      </c>
      <c r="E486" s="121">
        <v>6353</v>
      </c>
      <c r="F486" s="120">
        <v>0</v>
      </c>
    </row>
    <row r="487" spans="1:6" ht="12">
      <c r="A487" s="190">
        <v>240314</v>
      </c>
      <c r="B487" s="171" t="s">
        <v>991</v>
      </c>
      <c r="C487" s="169" t="s">
        <v>1116</v>
      </c>
      <c r="D487" s="178" t="s">
        <v>1117</v>
      </c>
      <c r="E487" s="121">
        <v>43814</v>
      </c>
      <c r="F487" s="120">
        <v>0</v>
      </c>
    </row>
    <row r="488" spans="1:6" ht="12">
      <c r="A488" s="190">
        <v>240314</v>
      </c>
      <c r="B488" s="171" t="s">
        <v>991</v>
      </c>
      <c r="C488" s="169" t="s">
        <v>1118</v>
      </c>
      <c r="D488" s="178" t="s">
        <v>1119</v>
      </c>
      <c r="E488" s="121">
        <v>7357</v>
      </c>
      <c r="F488" s="120">
        <v>0</v>
      </c>
    </row>
    <row r="489" spans="1:6" ht="12">
      <c r="A489" s="190">
        <v>240314</v>
      </c>
      <c r="B489" s="171" t="s">
        <v>991</v>
      </c>
      <c r="C489" s="169" t="s">
        <v>1120</v>
      </c>
      <c r="D489" s="178" t="s">
        <v>1121</v>
      </c>
      <c r="E489" s="121">
        <v>9986</v>
      </c>
      <c r="F489" s="120">
        <v>0</v>
      </c>
    </row>
    <row r="490" spans="1:6" ht="12">
      <c r="A490" s="190">
        <v>240314</v>
      </c>
      <c r="B490" s="171" t="s">
        <v>991</v>
      </c>
      <c r="C490" s="169" t="s">
        <v>1122</v>
      </c>
      <c r="D490" s="178" t="s">
        <v>1123</v>
      </c>
      <c r="E490" s="121">
        <v>17423</v>
      </c>
      <c r="F490" s="120">
        <v>0</v>
      </c>
    </row>
    <row r="491" spans="1:6" ht="12">
      <c r="A491" s="190">
        <v>240314</v>
      </c>
      <c r="B491" s="171" t="s">
        <v>991</v>
      </c>
      <c r="C491" s="169" t="s">
        <v>1124</v>
      </c>
      <c r="D491" s="178" t="s">
        <v>994</v>
      </c>
      <c r="E491" s="121">
        <v>27875</v>
      </c>
      <c r="F491" s="120">
        <v>0</v>
      </c>
    </row>
    <row r="492" spans="1:6" ht="12">
      <c r="A492" s="190">
        <v>240314</v>
      </c>
      <c r="B492" s="171" t="s">
        <v>991</v>
      </c>
      <c r="C492" s="169" t="s">
        <v>1125</v>
      </c>
      <c r="D492" s="178" t="s">
        <v>1126</v>
      </c>
      <c r="E492" s="121">
        <v>10546</v>
      </c>
      <c r="F492" s="120">
        <v>0</v>
      </c>
    </row>
    <row r="493" spans="1:6" ht="12">
      <c r="A493" s="190">
        <v>240314</v>
      </c>
      <c r="B493" s="171" t="s">
        <v>991</v>
      </c>
      <c r="C493" s="169" t="s">
        <v>1127</v>
      </c>
      <c r="D493" s="178" t="s">
        <v>1128</v>
      </c>
      <c r="E493" s="121">
        <v>8153</v>
      </c>
      <c r="F493" s="120">
        <v>0</v>
      </c>
    </row>
    <row r="494" spans="1:6" ht="12">
      <c r="A494" s="190">
        <v>240314</v>
      </c>
      <c r="B494" s="171" t="s">
        <v>991</v>
      </c>
      <c r="C494" s="169" t="s">
        <v>1129</v>
      </c>
      <c r="D494" s="178" t="s">
        <v>1130</v>
      </c>
      <c r="E494" s="121">
        <v>38041</v>
      </c>
      <c r="F494" s="120">
        <v>0</v>
      </c>
    </row>
    <row r="495" spans="1:6" ht="12">
      <c r="A495" s="190">
        <v>240314</v>
      </c>
      <c r="B495" s="171" t="s">
        <v>991</v>
      </c>
      <c r="C495" s="169" t="s">
        <v>1131</v>
      </c>
      <c r="D495" s="178" t="s">
        <v>1132</v>
      </c>
      <c r="E495" s="121">
        <v>10278</v>
      </c>
      <c r="F495" s="120">
        <v>0</v>
      </c>
    </row>
    <row r="496" spans="1:6" ht="12">
      <c r="A496" s="190">
        <v>240314</v>
      </c>
      <c r="B496" s="171" t="s">
        <v>991</v>
      </c>
      <c r="C496" s="169" t="s">
        <v>1133</v>
      </c>
      <c r="D496" s="178" t="s">
        <v>996</v>
      </c>
      <c r="E496" s="121">
        <v>56274</v>
      </c>
      <c r="F496" s="120">
        <v>0</v>
      </c>
    </row>
    <row r="497" spans="1:6" ht="12">
      <c r="A497" s="190">
        <v>240314</v>
      </c>
      <c r="B497" s="171" t="s">
        <v>991</v>
      </c>
      <c r="C497" s="169" t="s">
        <v>1134</v>
      </c>
      <c r="D497" s="178" t="s">
        <v>1135</v>
      </c>
      <c r="E497" s="121">
        <v>10267</v>
      </c>
      <c r="F497" s="120">
        <v>0</v>
      </c>
    </row>
    <row r="498" spans="1:6" ht="12">
      <c r="A498" s="190">
        <v>240314</v>
      </c>
      <c r="B498" s="171" t="s">
        <v>991</v>
      </c>
      <c r="C498" s="169" t="s">
        <v>1136</v>
      </c>
      <c r="D498" s="178" t="s">
        <v>1137</v>
      </c>
      <c r="E498" s="121">
        <v>22674</v>
      </c>
      <c r="F498" s="120">
        <v>0</v>
      </c>
    </row>
    <row r="499" spans="1:6" ht="12">
      <c r="A499" s="190">
        <v>240314</v>
      </c>
      <c r="B499" s="171" t="s">
        <v>991</v>
      </c>
      <c r="C499" s="169" t="s">
        <v>1138</v>
      </c>
      <c r="D499" s="178" t="s">
        <v>1139</v>
      </c>
      <c r="E499" s="121">
        <v>6086</v>
      </c>
      <c r="F499" s="120">
        <v>0</v>
      </c>
    </row>
    <row r="500" spans="1:6" ht="12">
      <c r="A500" s="190">
        <v>240314</v>
      </c>
      <c r="B500" s="171" t="s">
        <v>991</v>
      </c>
      <c r="C500" s="169" t="s">
        <v>1140</v>
      </c>
      <c r="D500" s="178" t="s">
        <v>1141</v>
      </c>
      <c r="E500" s="121">
        <v>6181</v>
      </c>
      <c r="F500" s="120">
        <v>0</v>
      </c>
    </row>
    <row r="501" spans="1:6" ht="12">
      <c r="A501" s="190">
        <v>240314</v>
      </c>
      <c r="B501" s="171" t="s">
        <v>991</v>
      </c>
      <c r="C501" s="169" t="s">
        <v>1142</v>
      </c>
      <c r="D501" s="178" t="s">
        <v>1143</v>
      </c>
      <c r="E501" s="121">
        <v>49934</v>
      </c>
      <c r="F501" s="120">
        <v>0</v>
      </c>
    </row>
    <row r="502" spans="1:6" ht="12">
      <c r="A502" s="190">
        <v>240314</v>
      </c>
      <c r="B502" s="171" t="s">
        <v>991</v>
      </c>
      <c r="C502" s="169" t="s">
        <v>1144</v>
      </c>
      <c r="D502" s="178" t="s">
        <v>1145</v>
      </c>
      <c r="E502" s="121">
        <v>44289</v>
      </c>
      <c r="F502" s="120">
        <v>0</v>
      </c>
    </row>
    <row r="503" spans="1:6" ht="12">
      <c r="A503" s="190">
        <v>240314</v>
      </c>
      <c r="B503" s="171" t="s">
        <v>991</v>
      </c>
      <c r="C503" s="169">
        <v>215005150</v>
      </c>
      <c r="D503" s="178" t="s">
        <v>1146</v>
      </c>
      <c r="E503" s="121">
        <v>5803</v>
      </c>
      <c r="F503" s="120">
        <v>0</v>
      </c>
    </row>
    <row r="504" spans="1:6" ht="12">
      <c r="A504" s="190">
        <v>240314</v>
      </c>
      <c r="B504" s="171" t="s">
        <v>991</v>
      </c>
      <c r="C504" s="169" t="s">
        <v>816</v>
      </c>
      <c r="D504" s="178" t="s">
        <v>1147</v>
      </c>
      <c r="E504" s="121">
        <v>95472</v>
      </c>
      <c r="F504" s="120">
        <v>0</v>
      </c>
    </row>
    <row r="505" spans="1:6" ht="12">
      <c r="A505" s="190">
        <v>240314</v>
      </c>
      <c r="B505" s="171" t="s">
        <v>991</v>
      </c>
      <c r="C505" s="169" t="s">
        <v>1148</v>
      </c>
      <c r="D505" s="178" t="s">
        <v>1149</v>
      </c>
      <c r="E505" s="121">
        <v>62485</v>
      </c>
      <c r="F505" s="120">
        <v>0</v>
      </c>
    </row>
    <row r="506" spans="1:6" ht="12">
      <c r="A506" s="190">
        <v>240314</v>
      </c>
      <c r="B506" s="171" t="s">
        <v>991</v>
      </c>
      <c r="C506" s="169" t="s">
        <v>1150</v>
      </c>
      <c r="D506" s="178" t="s">
        <v>1151</v>
      </c>
      <c r="E506" s="121">
        <v>11944</v>
      </c>
      <c r="F506" s="120">
        <v>0</v>
      </c>
    </row>
    <row r="507" spans="1:6" ht="12">
      <c r="A507" s="190">
        <v>240314</v>
      </c>
      <c r="B507" s="171" t="s">
        <v>991</v>
      </c>
      <c r="C507" s="169" t="s">
        <v>1152</v>
      </c>
      <c r="D507" s="178" t="s">
        <v>1153</v>
      </c>
      <c r="E507" s="121">
        <v>16642</v>
      </c>
      <c r="F507" s="120">
        <v>0</v>
      </c>
    </row>
    <row r="508" spans="1:6" ht="12">
      <c r="A508" s="190">
        <v>240314</v>
      </c>
      <c r="B508" s="171" t="s">
        <v>991</v>
      </c>
      <c r="C508" s="169" t="s">
        <v>1154</v>
      </c>
      <c r="D508" s="178" t="s">
        <v>1155</v>
      </c>
      <c r="E508" s="121">
        <v>4153</v>
      </c>
      <c r="F508" s="120">
        <v>0</v>
      </c>
    </row>
    <row r="509" spans="1:6" ht="12">
      <c r="A509" s="190">
        <v>240314</v>
      </c>
      <c r="B509" s="171" t="s">
        <v>991</v>
      </c>
      <c r="C509" s="169" t="s">
        <v>1156</v>
      </c>
      <c r="D509" s="178" t="s">
        <v>1157</v>
      </c>
      <c r="E509" s="121">
        <v>19479</v>
      </c>
      <c r="F509" s="120">
        <v>0</v>
      </c>
    </row>
    <row r="510" spans="1:6" ht="12">
      <c r="A510" s="190">
        <v>240314</v>
      </c>
      <c r="B510" s="171" t="s">
        <v>991</v>
      </c>
      <c r="C510" s="169" t="s">
        <v>1158</v>
      </c>
      <c r="D510" s="178" t="s">
        <v>1159</v>
      </c>
      <c r="E510" s="121">
        <v>65846</v>
      </c>
      <c r="F510" s="120">
        <v>0</v>
      </c>
    </row>
    <row r="511" spans="1:6" ht="12">
      <c r="A511" s="190">
        <v>240314</v>
      </c>
      <c r="B511" s="171" t="s">
        <v>991</v>
      </c>
      <c r="C511" s="169" t="s">
        <v>1160</v>
      </c>
      <c r="D511" s="178" t="s">
        <v>1161</v>
      </c>
      <c r="E511" s="121">
        <v>31302</v>
      </c>
      <c r="F511" s="120">
        <v>0</v>
      </c>
    </row>
    <row r="512" spans="1:6" ht="12">
      <c r="A512" s="190">
        <v>240314</v>
      </c>
      <c r="B512" s="171" t="s">
        <v>991</v>
      </c>
      <c r="C512" s="169" t="s">
        <v>1162</v>
      </c>
      <c r="D512" s="178" t="s">
        <v>1163</v>
      </c>
      <c r="E512" s="121">
        <v>18367</v>
      </c>
      <c r="F512" s="120">
        <v>0</v>
      </c>
    </row>
    <row r="513" spans="1:6" ht="12">
      <c r="A513" s="190">
        <v>240314</v>
      </c>
      <c r="B513" s="171" t="s">
        <v>991</v>
      </c>
      <c r="C513" s="169">
        <v>214005240</v>
      </c>
      <c r="D513" s="178" t="s">
        <v>1164</v>
      </c>
      <c r="E513" s="121">
        <v>14589</v>
      </c>
      <c r="F513" s="120">
        <v>0</v>
      </c>
    </row>
    <row r="514" spans="1:6" ht="12">
      <c r="A514" s="190">
        <v>240314</v>
      </c>
      <c r="B514" s="171" t="s">
        <v>991</v>
      </c>
      <c r="C514" s="169" t="s">
        <v>1165</v>
      </c>
      <c r="D514" s="178" t="s">
        <v>1166</v>
      </c>
      <c r="E514" s="121">
        <v>56819</v>
      </c>
      <c r="F514" s="120">
        <v>0</v>
      </c>
    </row>
    <row r="515" spans="1:6" ht="12">
      <c r="A515" s="190">
        <v>240314</v>
      </c>
      <c r="B515" s="171" t="s">
        <v>991</v>
      </c>
      <c r="C515" s="169" t="s">
        <v>1167</v>
      </c>
      <c r="D515" s="178" t="s">
        <v>1168</v>
      </c>
      <c r="E515" s="121">
        <v>9198</v>
      </c>
      <c r="F515" s="120">
        <v>0</v>
      </c>
    </row>
    <row r="516" spans="1:6" ht="12">
      <c r="A516" s="190">
        <v>240314</v>
      </c>
      <c r="B516" s="171" t="s">
        <v>991</v>
      </c>
      <c r="C516" s="169" t="s">
        <v>1169</v>
      </c>
      <c r="D516" s="178" t="s">
        <v>1170</v>
      </c>
      <c r="E516" s="121">
        <v>26340</v>
      </c>
      <c r="F516" s="120">
        <v>0</v>
      </c>
    </row>
    <row r="517" spans="1:6" ht="12">
      <c r="A517" s="190">
        <v>240314</v>
      </c>
      <c r="B517" s="171" t="s">
        <v>991</v>
      </c>
      <c r="C517" s="169" t="s">
        <v>1171</v>
      </c>
      <c r="D517" s="178" t="s">
        <v>1172</v>
      </c>
      <c r="E517" s="121">
        <v>26252</v>
      </c>
      <c r="F517" s="120">
        <v>0</v>
      </c>
    </row>
    <row r="518" spans="1:6" ht="12">
      <c r="A518" s="190">
        <v>240314</v>
      </c>
      <c r="B518" s="171" t="s">
        <v>991</v>
      </c>
      <c r="C518" s="169" t="s">
        <v>1173</v>
      </c>
      <c r="D518" s="178" t="s">
        <v>1174</v>
      </c>
      <c r="E518" s="121">
        <v>4971</v>
      </c>
      <c r="F518" s="120">
        <v>0</v>
      </c>
    </row>
    <row r="519" spans="1:6" ht="12">
      <c r="A519" s="190">
        <v>240314</v>
      </c>
      <c r="B519" s="171" t="s">
        <v>991</v>
      </c>
      <c r="C519" s="169" t="s">
        <v>1175</v>
      </c>
      <c r="D519" s="178" t="s">
        <v>1176</v>
      </c>
      <c r="E519" s="121">
        <v>35461</v>
      </c>
      <c r="F519" s="120">
        <v>0</v>
      </c>
    </row>
    <row r="520" spans="1:6" ht="12">
      <c r="A520" s="190">
        <v>240314</v>
      </c>
      <c r="B520" s="171" t="s">
        <v>991</v>
      </c>
      <c r="C520" s="169">
        <v>211005310</v>
      </c>
      <c r="D520" s="178" t="s">
        <v>1177</v>
      </c>
      <c r="E520" s="121">
        <v>11838</v>
      </c>
      <c r="F520" s="120">
        <v>0</v>
      </c>
    </row>
    <row r="521" spans="1:6" ht="12">
      <c r="A521" s="190">
        <v>240314</v>
      </c>
      <c r="B521" s="171" t="s">
        <v>991</v>
      </c>
      <c r="C521" s="169" t="s">
        <v>1178</v>
      </c>
      <c r="D521" s="178" t="s">
        <v>1179</v>
      </c>
      <c r="E521" s="121">
        <v>11253</v>
      </c>
      <c r="F521" s="120">
        <v>0</v>
      </c>
    </row>
    <row r="522" spans="1:6" ht="12">
      <c r="A522" s="190">
        <v>240314</v>
      </c>
      <c r="B522" s="171" t="s">
        <v>991</v>
      </c>
      <c r="C522" s="169" t="s">
        <v>1180</v>
      </c>
      <c r="D522" s="178" t="s">
        <v>1181</v>
      </c>
      <c r="E522" s="121">
        <v>6367</v>
      </c>
      <c r="F522" s="120">
        <v>0</v>
      </c>
    </row>
    <row r="523" spans="1:6" ht="12">
      <c r="A523" s="190">
        <v>240314</v>
      </c>
      <c r="B523" s="171" t="s">
        <v>991</v>
      </c>
      <c r="C523" s="169" t="s">
        <v>1182</v>
      </c>
      <c r="D523" s="178" t="s">
        <v>1183</v>
      </c>
      <c r="E523" s="121">
        <v>33435</v>
      </c>
      <c r="F523" s="120">
        <v>0</v>
      </c>
    </row>
    <row r="524" spans="1:6" ht="12">
      <c r="A524" s="190">
        <v>240314</v>
      </c>
      <c r="B524" s="171" t="s">
        <v>991</v>
      </c>
      <c r="C524" s="169" t="s">
        <v>1184</v>
      </c>
      <c r="D524" s="178" t="s">
        <v>1185</v>
      </c>
      <c r="E524" s="121">
        <v>6938</v>
      </c>
      <c r="F524" s="120">
        <v>0</v>
      </c>
    </row>
    <row r="525" spans="1:6" ht="12">
      <c r="A525" s="190">
        <v>240314</v>
      </c>
      <c r="B525" s="171" t="s">
        <v>991</v>
      </c>
      <c r="C525" s="169" t="s">
        <v>1186</v>
      </c>
      <c r="D525" s="178" t="s">
        <v>1187</v>
      </c>
      <c r="E525" s="121">
        <v>3997</v>
      </c>
      <c r="F525" s="120">
        <v>0</v>
      </c>
    </row>
    <row r="526" spans="1:6" ht="12">
      <c r="A526" s="190">
        <v>240314</v>
      </c>
      <c r="B526" s="171" t="s">
        <v>991</v>
      </c>
      <c r="C526" s="169" t="s">
        <v>1188</v>
      </c>
      <c r="D526" s="178" t="s">
        <v>1189</v>
      </c>
      <c r="E526" s="121">
        <v>6131</v>
      </c>
      <c r="F526" s="120">
        <v>0</v>
      </c>
    </row>
    <row r="527" spans="1:6" ht="12">
      <c r="A527" s="190">
        <v>240314</v>
      </c>
      <c r="B527" s="171" t="s">
        <v>991</v>
      </c>
      <c r="C527" s="169" t="s">
        <v>1190</v>
      </c>
      <c r="D527" s="178" t="s">
        <v>1191</v>
      </c>
      <c r="E527" s="121">
        <v>35656</v>
      </c>
      <c r="F527" s="120">
        <v>0</v>
      </c>
    </row>
    <row r="528" spans="1:6" ht="12">
      <c r="A528" s="190">
        <v>240314</v>
      </c>
      <c r="B528" s="171" t="s">
        <v>991</v>
      </c>
      <c r="C528" s="169" t="s">
        <v>1192</v>
      </c>
      <c r="D528" s="178" t="s">
        <v>1193</v>
      </c>
      <c r="E528" s="121">
        <v>14558</v>
      </c>
      <c r="F528" s="120">
        <v>0</v>
      </c>
    </row>
    <row r="529" spans="1:6" ht="12">
      <c r="A529" s="190">
        <v>240314</v>
      </c>
      <c r="B529" s="171" t="s">
        <v>991</v>
      </c>
      <c r="C529" s="169" t="s">
        <v>1194</v>
      </c>
      <c r="D529" s="178" t="s">
        <v>1195</v>
      </c>
      <c r="E529" s="121">
        <v>16848</v>
      </c>
      <c r="F529" s="120">
        <v>0</v>
      </c>
    </row>
    <row r="530" spans="1:6" ht="12">
      <c r="A530" s="190">
        <v>240314</v>
      </c>
      <c r="B530" s="171" t="s">
        <v>991</v>
      </c>
      <c r="C530" s="169">
        <v>217605376</v>
      </c>
      <c r="D530" s="178" t="s">
        <v>1196</v>
      </c>
      <c r="E530" s="121">
        <v>46052</v>
      </c>
      <c r="F530" s="120">
        <v>0</v>
      </c>
    </row>
    <row r="531" spans="1:6" ht="12">
      <c r="A531" s="190">
        <v>240314</v>
      </c>
      <c r="B531" s="171" t="s">
        <v>991</v>
      </c>
      <c r="C531" s="169" t="s">
        <v>1197</v>
      </c>
      <c r="D531" s="178" t="s">
        <v>1198</v>
      </c>
      <c r="E531" s="121">
        <v>37015</v>
      </c>
      <c r="F531" s="120">
        <v>0</v>
      </c>
    </row>
    <row r="532" spans="1:6" ht="12">
      <c r="A532" s="190">
        <v>240314</v>
      </c>
      <c r="B532" s="171" t="s">
        <v>991</v>
      </c>
      <c r="C532" s="169" t="s">
        <v>1199</v>
      </c>
      <c r="D532" s="178" t="s">
        <v>1200</v>
      </c>
      <c r="E532" s="121">
        <v>9896</v>
      </c>
      <c r="F532" s="120">
        <v>0</v>
      </c>
    </row>
    <row r="533" spans="1:6" ht="12">
      <c r="A533" s="190">
        <v>240314</v>
      </c>
      <c r="B533" s="171" t="s">
        <v>991</v>
      </c>
      <c r="C533" s="169" t="s">
        <v>1201</v>
      </c>
      <c r="D533" s="178" t="s">
        <v>1202</v>
      </c>
      <c r="E533" s="121">
        <v>18650</v>
      </c>
      <c r="F533" s="120">
        <v>0</v>
      </c>
    </row>
    <row r="534" spans="1:6" ht="12">
      <c r="A534" s="190">
        <v>240314</v>
      </c>
      <c r="B534" s="171" t="s">
        <v>991</v>
      </c>
      <c r="C534" s="169" t="s">
        <v>1203</v>
      </c>
      <c r="D534" s="178" t="s">
        <v>1204</v>
      </c>
      <c r="E534" s="121">
        <v>12222</v>
      </c>
      <c r="F534" s="120">
        <v>0</v>
      </c>
    </row>
    <row r="535" spans="1:6" ht="12">
      <c r="A535" s="190">
        <v>240314</v>
      </c>
      <c r="B535" s="171" t="s">
        <v>991</v>
      </c>
      <c r="C535" s="169" t="s">
        <v>1205</v>
      </c>
      <c r="D535" s="178" t="s">
        <v>1206</v>
      </c>
      <c r="E535" s="121">
        <v>10708</v>
      </c>
      <c r="F535" s="120">
        <v>0</v>
      </c>
    </row>
    <row r="536" spans="1:6" ht="12">
      <c r="A536" s="190">
        <v>240314</v>
      </c>
      <c r="B536" s="171" t="s">
        <v>991</v>
      </c>
      <c r="C536" s="169" t="s">
        <v>1207</v>
      </c>
      <c r="D536" s="178" t="s">
        <v>1208</v>
      </c>
      <c r="E536" s="121">
        <v>53855</v>
      </c>
      <c r="F536" s="120">
        <v>0</v>
      </c>
    </row>
    <row r="537" spans="1:6" ht="12">
      <c r="A537" s="190">
        <v>240314</v>
      </c>
      <c r="B537" s="171" t="s">
        <v>991</v>
      </c>
      <c r="C537" s="169" t="s">
        <v>1209</v>
      </c>
      <c r="D537" s="178" t="s">
        <v>1210</v>
      </c>
      <c r="E537" s="121">
        <v>6676</v>
      </c>
      <c r="F537" s="120">
        <v>0</v>
      </c>
    </row>
    <row r="538" spans="1:6" ht="12">
      <c r="A538" s="190">
        <v>240314</v>
      </c>
      <c r="B538" s="171" t="s">
        <v>991</v>
      </c>
      <c r="C538" s="169" t="s">
        <v>1211</v>
      </c>
      <c r="D538" s="178" t="s">
        <v>1212</v>
      </c>
      <c r="E538" s="121">
        <v>9215</v>
      </c>
      <c r="F538" s="120">
        <v>0</v>
      </c>
    </row>
    <row r="539" spans="1:6" ht="12">
      <c r="A539" s="190">
        <v>240314</v>
      </c>
      <c r="B539" s="171" t="s">
        <v>991</v>
      </c>
      <c r="C539" s="169" t="s">
        <v>1213</v>
      </c>
      <c r="D539" s="178" t="s">
        <v>1214</v>
      </c>
      <c r="E539" s="121">
        <v>24245</v>
      </c>
      <c r="F539" s="120">
        <v>0</v>
      </c>
    </row>
    <row r="540" spans="1:6" ht="12">
      <c r="A540" s="190">
        <v>240314</v>
      </c>
      <c r="B540" s="171" t="s">
        <v>991</v>
      </c>
      <c r="C540" s="169" t="s">
        <v>1215</v>
      </c>
      <c r="D540" s="178" t="s">
        <v>1216</v>
      </c>
      <c r="E540" s="121">
        <v>11718</v>
      </c>
      <c r="F540" s="120">
        <v>0</v>
      </c>
    </row>
    <row r="541" spans="1:6" ht="12">
      <c r="A541" s="190">
        <v>240314</v>
      </c>
      <c r="B541" s="171" t="s">
        <v>991</v>
      </c>
      <c r="C541" s="169" t="s">
        <v>1217</v>
      </c>
      <c r="D541" s="178" t="s">
        <v>1218</v>
      </c>
      <c r="E541" s="121">
        <v>78126</v>
      </c>
      <c r="F541" s="120">
        <v>0</v>
      </c>
    </row>
    <row r="542" spans="1:6" ht="12">
      <c r="A542" s="190">
        <v>240314</v>
      </c>
      <c r="B542" s="171" t="s">
        <v>991</v>
      </c>
      <c r="C542" s="169" t="s">
        <v>1219</v>
      </c>
      <c r="D542" s="178" t="s">
        <v>1220</v>
      </c>
      <c r="E542" s="121">
        <v>29266</v>
      </c>
      <c r="F542" s="120">
        <v>0</v>
      </c>
    </row>
    <row r="543" spans="1:6" ht="12">
      <c r="A543" s="190">
        <v>240314</v>
      </c>
      <c r="B543" s="171" t="s">
        <v>991</v>
      </c>
      <c r="C543" s="169" t="s">
        <v>1221</v>
      </c>
      <c r="D543" s="178" t="s">
        <v>1222</v>
      </c>
      <c r="E543" s="121">
        <v>3386</v>
      </c>
      <c r="F543" s="120">
        <v>0</v>
      </c>
    </row>
    <row r="544" spans="1:6" ht="12">
      <c r="A544" s="190">
        <v>240314</v>
      </c>
      <c r="B544" s="171" t="s">
        <v>991</v>
      </c>
      <c r="C544" s="169" t="s">
        <v>1223</v>
      </c>
      <c r="D544" s="178" t="s">
        <v>1224</v>
      </c>
      <c r="E544" s="121">
        <v>19210</v>
      </c>
      <c r="F544" s="120">
        <v>0</v>
      </c>
    </row>
    <row r="545" spans="1:6" ht="12">
      <c r="A545" s="190">
        <v>240314</v>
      </c>
      <c r="B545" s="171" t="s">
        <v>991</v>
      </c>
      <c r="C545" s="169" t="s">
        <v>1225</v>
      </c>
      <c r="D545" s="178" t="s">
        <v>1226</v>
      </c>
      <c r="E545" s="121">
        <v>11546</v>
      </c>
      <c r="F545" s="120">
        <v>0</v>
      </c>
    </row>
    <row r="546" spans="1:6" ht="12">
      <c r="A546" s="190">
        <v>240314</v>
      </c>
      <c r="B546" s="171" t="s">
        <v>991</v>
      </c>
      <c r="C546" s="169" t="s">
        <v>1227</v>
      </c>
      <c r="D546" s="178" t="s">
        <v>1228</v>
      </c>
      <c r="E546" s="121">
        <v>9068</v>
      </c>
      <c r="F546" s="120">
        <v>0</v>
      </c>
    </row>
    <row r="547" spans="1:6" ht="12">
      <c r="A547" s="190">
        <v>240314</v>
      </c>
      <c r="B547" s="171" t="s">
        <v>991</v>
      </c>
      <c r="C547" s="169" t="s">
        <v>1229</v>
      </c>
      <c r="D547" s="178" t="s">
        <v>1230</v>
      </c>
      <c r="E547" s="121">
        <v>42585</v>
      </c>
      <c r="F547" s="120">
        <v>0</v>
      </c>
    </row>
    <row r="548" spans="1:6" ht="12">
      <c r="A548" s="190">
        <v>240314</v>
      </c>
      <c r="B548" s="171" t="s">
        <v>991</v>
      </c>
      <c r="C548" s="169">
        <v>218505585</v>
      </c>
      <c r="D548" s="178" t="s">
        <v>1231</v>
      </c>
      <c r="E548" s="121">
        <v>18566</v>
      </c>
      <c r="F548" s="120">
        <v>0</v>
      </c>
    </row>
    <row r="549" spans="1:6" ht="12">
      <c r="A549" s="190">
        <v>240314</v>
      </c>
      <c r="B549" s="171" t="s">
        <v>991</v>
      </c>
      <c r="C549" s="169" t="s">
        <v>1232</v>
      </c>
      <c r="D549" s="178" t="s">
        <v>1233</v>
      </c>
      <c r="E549" s="121">
        <v>13958</v>
      </c>
      <c r="F549" s="120">
        <v>0</v>
      </c>
    </row>
    <row r="550" spans="1:6" ht="12">
      <c r="A550" s="190">
        <v>240314</v>
      </c>
      <c r="B550" s="171" t="s">
        <v>991</v>
      </c>
      <c r="C550" s="169" t="s">
        <v>1234</v>
      </c>
      <c r="D550" s="178" t="s">
        <v>1235</v>
      </c>
      <c r="E550" s="121">
        <v>24793</v>
      </c>
      <c r="F550" s="120">
        <v>0</v>
      </c>
    </row>
    <row r="551" spans="1:6" ht="12">
      <c r="A551" s="190">
        <v>240314</v>
      </c>
      <c r="B551" s="171" t="s">
        <v>991</v>
      </c>
      <c r="C551" s="169" t="s">
        <v>1236</v>
      </c>
      <c r="D551" s="178" t="s">
        <v>1237</v>
      </c>
      <c r="E551" s="121">
        <v>14492</v>
      </c>
      <c r="F551" s="120">
        <v>0</v>
      </c>
    </row>
    <row r="552" spans="1:6" ht="12">
      <c r="A552" s="190">
        <v>240314</v>
      </c>
      <c r="B552" s="171" t="s">
        <v>991</v>
      </c>
      <c r="C552" s="169" t="s">
        <v>1238</v>
      </c>
      <c r="D552" s="178" t="s">
        <v>1239</v>
      </c>
      <c r="E552" s="121">
        <v>102078</v>
      </c>
      <c r="F552" s="120">
        <v>0</v>
      </c>
    </row>
    <row r="553" spans="1:6" ht="12">
      <c r="A553" s="190">
        <v>240314</v>
      </c>
      <c r="B553" s="171" t="s">
        <v>991</v>
      </c>
      <c r="C553" s="169" t="s">
        <v>1240</v>
      </c>
      <c r="D553" s="178" t="s">
        <v>1241</v>
      </c>
      <c r="E553" s="121">
        <v>9757</v>
      </c>
      <c r="F553" s="120">
        <v>0</v>
      </c>
    </row>
    <row r="554" spans="1:6" ht="12">
      <c r="A554" s="190">
        <v>240314</v>
      </c>
      <c r="B554" s="171" t="s">
        <v>991</v>
      </c>
      <c r="C554" s="169" t="s">
        <v>1242</v>
      </c>
      <c r="D554" s="178" t="s">
        <v>1243</v>
      </c>
      <c r="E554" s="121">
        <v>37261</v>
      </c>
      <c r="F554" s="120">
        <v>0</v>
      </c>
    </row>
    <row r="555" spans="1:6" ht="12">
      <c r="A555" s="190">
        <v>240314</v>
      </c>
      <c r="B555" s="171" t="s">
        <v>991</v>
      </c>
      <c r="C555" s="169" t="s">
        <v>1244</v>
      </c>
      <c r="D555" s="178" t="s">
        <v>1245</v>
      </c>
      <c r="E555" s="121">
        <v>16956</v>
      </c>
      <c r="F555" s="120">
        <v>0</v>
      </c>
    </row>
    <row r="556" spans="1:6" ht="12">
      <c r="A556" s="190">
        <v>240314</v>
      </c>
      <c r="B556" s="171" t="s">
        <v>991</v>
      </c>
      <c r="C556" s="169">
        <v>118888000</v>
      </c>
      <c r="D556" s="178" t="s">
        <v>1017</v>
      </c>
      <c r="E556" s="121">
        <v>8539</v>
      </c>
      <c r="F556" s="120">
        <v>0</v>
      </c>
    </row>
    <row r="557" spans="1:6" ht="12">
      <c r="A557" s="190">
        <v>240314</v>
      </c>
      <c r="B557" s="171" t="s">
        <v>991</v>
      </c>
      <c r="C557" s="169" t="s">
        <v>1246</v>
      </c>
      <c r="D557" s="178" t="s">
        <v>1247</v>
      </c>
      <c r="E557" s="121">
        <v>16557</v>
      </c>
      <c r="F557" s="120">
        <v>0</v>
      </c>
    </row>
    <row r="558" spans="1:6" ht="12">
      <c r="A558" s="190">
        <v>240314</v>
      </c>
      <c r="B558" s="171" t="s">
        <v>991</v>
      </c>
      <c r="C558" s="169" t="s">
        <v>1248</v>
      </c>
      <c r="D558" s="178" t="s">
        <v>1249</v>
      </c>
      <c r="E558" s="121">
        <v>7331</v>
      </c>
      <c r="F558" s="120">
        <v>0</v>
      </c>
    </row>
    <row r="559" spans="1:6" ht="12">
      <c r="A559" s="190">
        <v>240314</v>
      </c>
      <c r="B559" s="171" t="s">
        <v>991</v>
      </c>
      <c r="C559" s="169" t="s">
        <v>1250</v>
      </c>
      <c r="D559" s="178" t="s">
        <v>1251</v>
      </c>
      <c r="E559" s="121">
        <v>14467</v>
      </c>
      <c r="F559" s="120">
        <v>0</v>
      </c>
    </row>
    <row r="560" spans="1:6" ht="12">
      <c r="A560" s="190">
        <v>240314</v>
      </c>
      <c r="B560" s="171" t="s">
        <v>991</v>
      </c>
      <c r="C560" s="169" t="s">
        <v>1252</v>
      </c>
      <c r="D560" s="178" t="s">
        <v>1253</v>
      </c>
      <c r="E560" s="121">
        <v>3739</v>
      </c>
      <c r="F560" s="120">
        <v>0</v>
      </c>
    </row>
    <row r="561" spans="1:6" ht="12">
      <c r="A561" s="190">
        <v>240314</v>
      </c>
      <c r="B561" s="171" t="s">
        <v>991</v>
      </c>
      <c r="C561" s="169" t="s">
        <v>1254</v>
      </c>
      <c r="D561" s="178" t="s">
        <v>1255</v>
      </c>
      <c r="E561" s="121">
        <v>45388</v>
      </c>
      <c r="F561" s="120">
        <v>0</v>
      </c>
    </row>
    <row r="562" spans="1:6" ht="12">
      <c r="A562" s="190">
        <v>240314</v>
      </c>
      <c r="B562" s="171" t="s">
        <v>991</v>
      </c>
      <c r="C562" s="169" t="s">
        <v>1256</v>
      </c>
      <c r="D562" s="178" t="s">
        <v>1257</v>
      </c>
      <c r="E562" s="121">
        <v>13415</v>
      </c>
      <c r="F562" s="120">
        <v>0</v>
      </c>
    </row>
    <row r="563" spans="1:6" ht="12">
      <c r="A563" s="190">
        <v>240314</v>
      </c>
      <c r="B563" s="171" t="s">
        <v>991</v>
      </c>
      <c r="C563" s="169" t="s">
        <v>1258</v>
      </c>
      <c r="D563" s="178" t="s">
        <v>1259</v>
      </c>
      <c r="E563" s="121">
        <v>26612</v>
      </c>
      <c r="F563" s="120">
        <v>0</v>
      </c>
    </row>
    <row r="564" spans="1:6" ht="12">
      <c r="A564" s="190">
        <v>240314</v>
      </c>
      <c r="B564" s="171" t="s">
        <v>991</v>
      </c>
      <c r="C564" s="169" t="s">
        <v>1260</v>
      </c>
      <c r="D564" s="178" t="s">
        <v>1261</v>
      </c>
      <c r="E564" s="121">
        <v>39476</v>
      </c>
      <c r="F564" s="120">
        <v>0</v>
      </c>
    </row>
    <row r="565" spans="1:6" ht="12">
      <c r="A565" s="190">
        <v>240314</v>
      </c>
      <c r="B565" s="171" t="s">
        <v>991</v>
      </c>
      <c r="C565" s="169" t="s">
        <v>1262</v>
      </c>
      <c r="D565" s="178" t="s">
        <v>1263</v>
      </c>
      <c r="E565" s="121">
        <v>14932</v>
      </c>
      <c r="F565" s="120">
        <v>0</v>
      </c>
    </row>
    <row r="566" spans="1:6" ht="12">
      <c r="A566" s="190">
        <v>240314</v>
      </c>
      <c r="B566" s="171" t="s">
        <v>991</v>
      </c>
      <c r="C566" s="169" t="s">
        <v>1264</v>
      </c>
      <c r="D566" s="178" t="s">
        <v>1265</v>
      </c>
      <c r="E566" s="121">
        <v>22977</v>
      </c>
      <c r="F566" s="120">
        <v>0</v>
      </c>
    </row>
    <row r="567" spans="1:6" ht="12">
      <c r="A567" s="190">
        <v>240314</v>
      </c>
      <c r="B567" s="171" t="s">
        <v>991</v>
      </c>
      <c r="C567" s="169" t="s">
        <v>1266</v>
      </c>
      <c r="D567" s="178" t="s">
        <v>1267</v>
      </c>
      <c r="E567" s="121">
        <v>20794</v>
      </c>
      <c r="F567" s="120">
        <v>0</v>
      </c>
    </row>
    <row r="568" spans="1:6" ht="12">
      <c r="A568" s="190">
        <v>240314</v>
      </c>
      <c r="B568" s="171" t="s">
        <v>991</v>
      </c>
      <c r="C568" s="169" t="s">
        <v>1268</v>
      </c>
      <c r="D568" s="178" t="s">
        <v>1269</v>
      </c>
      <c r="E568" s="121">
        <v>27148</v>
      </c>
      <c r="F568" s="120">
        <v>0</v>
      </c>
    </row>
    <row r="569" spans="1:6" ht="12">
      <c r="A569" s="190">
        <v>240314</v>
      </c>
      <c r="B569" s="171" t="s">
        <v>991</v>
      </c>
      <c r="C569" s="169" t="s">
        <v>1270</v>
      </c>
      <c r="D569" s="178" t="s">
        <v>1271</v>
      </c>
      <c r="E569" s="121">
        <v>36709</v>
      </c>
      <c r="F569" s="120">
        <v>0</v>
      </c>
    </row>
    <row r="570" spans="1:6" ht="12">
      <c r="A570" s="190">
        <v>240314</v>
      </c>
      <c r="B570" s="171" t="s">
        <v>991</v>
      </c>
      <c r="C570" s="169" t="s">
        <v>1272</v>
      </c>
      <c r="D570" s="178" t="s">
        <v>1273</v>
      </c>
      <c r="E570" s="121">
        <v>14821</v>
      </c>
      <c r="F570" s="120">
        <v>0</v>
      </c>
    </row>
    <row r="571" spans="1:6" ht="12">
      <c r="A571" s="190">
        <v>240314</v>
      </c>
      <c r="B571" s="171" t="s">
        <v>991</v>
      </c>
      <c r="C571" s="169" t="s">
        <v>1274</v>
      </c>
      <c r="D571" s="178" t="s">
        <v>1275</v>
      </c>
      <c r="E571" s="121">
        <v>30816</v>
      </c>
      <c r="F571" s="120">
        <v>0</v>
      </c>
    </row>
    <row r="572" spans="1:6" ht="12">
      <c r="A572" s="190">
        <v>240314</v>
      </c>
      <c r="B572" s="171" t="s">
        <v>991</v>
      </c>
      <c r="C572" s="169" t="s">
        <v>1276</v>
      </c>
      <c r="D572" s="178" t="s">
        <v>1277</v>
      </c>
      <c r="E572" s="121">
        <v>33271</v>
      </c>
      <c r="F572" s="120">
        <v>0</v>
      </c>
    </row>
    <row r="573" spans="1:6" ht="12">
      <c r="A573" s="190">
        <v>240314</v>
      </c>
      <c r="B573" s="171" t="s">
        <v>991</v>
      </c>
      <c r="C573" s="169" t="s">
        <v>1278</v>
      </c>
      <c r="D573" s="178" t="s">
        <v>1279</v>
      </c>
      <c r="E573" s="121">
        <v>42937</v>
      </c>
      <c r="F573" s="120">
        <v>0</v>
      </c>
    </row>
    <row r="574" spans="1:6" ht="12">
      <c r="A574" s="190">
        <v>240314</v>
      </c>
      <c r="B574" s="171" t="s">
        <v>991</v>
      </c>
      <c r="C574" s="169" t="s">
        <v>1280</v>
      </c>
      <c r="D574" s="178" t="s">
        <v>1281</v>
      </c>
      <c r="E574" s="121">
        <v>18010</v>
      </c>
      <c r="F574" s="120">
        <v>0</v>
      </c>
    </row>
    <row r="575" spans="1:6" ht="12">
      <c r="A575" s="190">
        <v>240314</v>
      </c>
      <c r="B575" s="171" t="s">
        <v>991</v>
      </c>
      <c r="C575" s="169" t="s">
        <v>1282</v>
      </c>
      <c r="D575" s="178" t="s">
        <v>1283</v>
      </c>
      <c r="E575" s="121">
        <v>18781</v>
      </c>
      <c r="F575" s="120">
        <v>0</v>
      </c>
    </row>
    <row r="576" spans="1:6" ht="12">
      <c r="A576" s="190">
        <v>240314</v>
      </c>
      <c r="B576" s="171" t="s">
        <v>991</v>
      </c>
      <c r="C576" s="169">
        <v>219005790</v>
      </c>
      <c r="D576" s="178" t="s">
        <v>1284</v>
      </c>
      <c r="E576" s="121">
        <v>35325</v>
      </c>
      <c r="F576" s="120">
        <v>0</v>
      </c>
    </row>
    <row r="577" spans="1:6" ht="12">
      <c r="A577" s="190">
        <v>240314</v>
      </c>
      <c r="B577" s="171" t="s">
        <v>991</v>
      </c>
      <c r="C577" s="169" t="s">
        <v>1285</v>
      </c>
      <c r="D577" s="178" t="s">
        <v>1286</v>
      </c>
      <c r="E577" s="121">
        <v>7403</v>
      </c>
      <c r="F577" s="120">
        <v>0</v>
      </c>
    </row>
    <row r="578" spans="1:6" ht="12">
      <c r="A578" s="190">
        <v>240314</v>
      </c>
      <c r="B578" s="171" t="s">
        <v>991</v>
      </c>
      <c r="C578" s="169" t="s">
        <v>1287</v>
      </c>
      <c r="D578" s="178" t="s">
        <v>1288</v>
      </c>
      <c r="E578" s="121">
        <v>11137</v>
      </c>
      <c r="F578" s="120">
        <v>0</v>
      </c>
    </row>
    <row r="579" spans="1:6" ht="12">
      <c r="A579" s="190">
        <v>240314</v>
      </c>
      <c r="B579" s="171" t="s">
        <v>991</v>
      </c>
      <c r="C579" s="169" t="s">
        <v>1289</v>
      </c>
      <c r="D579" s="178" t="s">
        <v>1290</v>
      </c>
      <c r="E579" s="121">
        <v>7833</v>
      </c>
      <c r="F579" s="120">
        <v>0</v>
      </c>
    </row>
    <row r="580" spans="1:6" ht="12">
      <c r="A580" s="190">
        <v>240314</v>
      </c>
      <c r="B580" s="171" t="s">
        <v>991</v>
      </c>
      <c r="C580" s="169" t="s">
        <v>1291</v>
      </c>
      <c r="D580" s="178" t="s">
        <v>1292</v>
      </c>
      <c r="E580" s="121">
        <v>10190</v>
      </c>
      <c r="F580" s="120">
        <v>0</v>
      </c>
    </row>
    <row r="581" spans="1:6" ht="12">
      <c r="A581" s="190">
        <v>240314</v>
      </c>
      <c r="B581" s="171" t="s">
        <v>991</v>
      </c>
      <c r="C581" s="169" t="s">
        <v>1293</v>
      </c>
      <c r="D581" s="178" t="s">
        <v>1294</v>
      </c>
      <c r="E581" s="121">
        <v>37059</v>
      </c>
      <c r="F581" s="120">
        <v>0</v>
      </c>
    </row>
    <row r="582" spans="1:6" ht="12">
      <c r="A582" s="190">
        <v>240314</v>
      </c>
      <c r="B582" s="171" t="s">
        <v>991</v>
      </c>
      <c r="C582" s="169" t="s">
        <v>1295</v>
      </c>
      <c r="D582" s="178" t="s">
        <v>1296</v>
      </c>
      <c r="E582" s="121">
        <v>18320</v>
      </c>
      <c r="F582" s="120">
        <v>0</v>
      </c>
    </row>
    <row r="583" spans="1:6" ht="12">
      <c r="A583" s="190">
        <v>240314</v>
      </c>
      <c r="B583" s="171" t="s">
        <v>991</v>
      </c>
      <c r="C583" s="169" t="s">
        <v>1297</v>
      </c>
      <c r="D583" s="178" t="s">
        <v>1298</v>
      </c>
      <c r="E583" s="121">
        <v>7105</v>
      </c>
      <c r="F583" s="120">
        <v>0</v>
      </c>
    </row>
    <row r="584" spans="1:6" ht="12">
      <c r="A584" s="190">
        <v>240314</v>
      </c>
      <c r="B584" s="171" t="s">
        <v>991</v>
      </c>
      <c r="C584" s="169" t="s">
        <v>1299</v>
      </c>
      <c r="D584" s="178" t="s">
        <v>1300</v>
      </c>
      <c r="E584" s="121">
        <v>11457</v>
      </c>
      <c r="F584" s="120">
        <v>0</v>
      </c>
    </row>
    <row r="585" spans="1:6" ht="12">
      <c r="A585" s="190">
        <v>240314</v>
      </c>
      <c r="B585" s="171" t="s">
        <v>991</v>
      </c>
      <c r="C585" s="169" t="s">
        <v>1301</v>
      </c>
      <c r="D585" s="178" t="s">
        <v>1302</v>
      </c>
      <c r="E585" s="121">
        <v>15310</v>
      </c>
      <c r="F585" s="120">
        <v>0</v>
      </c>
    </row>
    <row r="586" spans="1:6" ht="12">
      <c r="A586" s="190">
        <v>240314</v>
      </c>
      <c r="B586" s="171" t="s">
        <v>991</v>
      </c>
      <c r="C586" s="169" t="s">
        <v>1303</v>
      </c>
      <c r="D586" s="178" t="s">
        <v>1304</v>
      </c>
      <c r="E586" s="121">
        <v>24996</v>
      </c>
      <c r="F586" s="120">
        <v>0</v>
      </c>
    </row>
    <row r="587" spans="1:6" ht="12">
      <c r="A587" s="190">
        <v>240314</v>
      </c>
      <c r="B587" s="171" t="s">
        <v>991</v>
      </c>
      <c r="C587" s="169" t="s">
        <v>1305</v>
      </c>
      <c r="D587" s="178" t="s">
        <v>1306</v>
      </c>
      <c r="E587" s="121">
        <v>8345</v>
      </c>
      <c r="F587" s="120">
        <v>0</v>
      </c>
    </row>
    <row r="588" spans="1:6" ht="12">
      <c r="A588" s="190">
        <v>240314</v>
      </c>
      <c r="B588" s="171" t="s">
        <v>991</v>
      </c>
      <c r="C588" s="169" t="s">
        <v>1307</v>
      </c>
      <c r="D588" s="178" t="s">
        <v>1308</v>
      </c>
      <c r="E588" s="121">
        <v>46248</v>
      </c>
      <c r="F588" s="120">
        <v>0</v>
      </c>
    </row>
    <row r="589" spans="1:6" ht="12">
      <c r="A589" s="190">
        <v>240314</v>
      </c>
      <c r="B589" s="171" t="s">
        <v>991</v>
      </c>
      <c r="C589" s="169" t="s">
        <v>1309</v>
      </c>
      <c r="D589" s="178" t="s">
        <v>1310</v>
      </c>
      <c r="E589" s="121">
        <v>22753</v>
      </c>
      <c r="F589" s="120">
        <v>0</v>
      </c>
    </row>
    <row r="590" spans="1:6" ht="12">
      <c r="A590" s="190">
        <v>240314</v>
      </c>
      <c r="B590" s="171" t="s">
        <v>991</v>
      </c>
      <c r="C590" s="169" t="s">
        <v>1311</v>
      </c>
      <c r="D590" s="178" t="s">
        <v>1312</v>
      </c>
      <c r="E590" s="121">
        <v>19629</v>
      </c>
      <c r="F590" s="120">
        <v>0</v>
      </c>
    </row>
    <row r="591" spans="1:6" ht="12">
      <c r="A591" s="190">
        <v>240314</v>
      </c>
      <c r="B591" s="171" t="s">
        <v>991</v>
      </c>
      <c r="C591" s="169" t="s">
        <v>1313</v>
      </c>
      <c r="D591" s="178" t="s">
        <v>1314</v>
      </c>
      <c r="E591" s="121">
        <v>37764</v>
      </c>
      <c r="F591" s="120">
        <v>0</v>
      </c>
    </row>
    <row r="592" spans="1:6" ht="12">
      <c r="A592" s="190">
        <v>240314</v>
      </c>
      <c r="B592" s="171" t="s">
        <v>991</v>
      </c>
      <c r="C592" s="169" t="s">
        <v>1315</v>
      </c>
      <c r="D592" s="178" t="s">
        <v>1316</v>
      </c>
      <c r="E592" s="121">
        <v>66410</v>
      </c>
      <c r="F592" s="120">
        <v>0</v>
      </c>
    </row>
    <row r="593" spans="1:6" ht="12">
      <c r="A593" s="190">
        <v>240314</v>
      </c>
      <c r="B593" s="171" t="s">
        <v>991</v>
      </c>
      <c r="C593" s="169" t="s">
        <v>1317</v>
      </c>
      <c r="D593" s="178" t="s">
        <v>1318</v>
      </c>
      <c r="E593" s="121">
        <v>30393</v>
      </c>
      <c r="F593" s="120">
        <v>0</v>
      </c>
    </row>
    <row r="594" spans="1:6" ht="12">
      <c r="A594" s="190">
        <v>240314</v>
      </c>
      <c r="B594" s="171" t="s">
        <v>991</v>
      </c>
      <c r="C594" s="169" t="s">
        <v>1319</v>
      </c>
      <c r="D594" s="178" t="s">
        <v>1320</v>
      </c>
      <c r="E594" s="121">
        <v>18841</v>
      </c>
      <c r="F594" s="120">
        <v>0</v>
      </c>
    </row>
    <row r="595" spans="1:6" ht="12">
      <c r="A595" s="190">
        <v>240314</v>
      </c>
      <c r="B595" s="171" t="s">
        <v>991</v>
      </c>
      <c r="C595" s="169" t="s">
        <v>1321</v>
      </c>
      <c r="D595" s="178" t="s">
        <v>1322</v>
      </c>
      <c r="E595" s="121">
        <v>36135</v>
      </c>
      <c r="F595" s="120">
        <v>0</v>
      </c>
    </row>
    <row r="596" spans="1:6" ht="12">
      <c r="A596" s="190">
        <v>240314</v>
      </c>
      <c r="B596" s="171" t="s">
        <v>991</v>
      </c>
      <c r="C596" s="169" t="s">
        <v>1323</v>
      </c>
      <c r="D596" s="178" t="s">
        <v>1324</v>
      </c>
      <c r="E596" s="121">
        <v>18499</v>
      </c>
      <c r="F596" s="120">
        <v>0</v>
      </c>
    </row>
    <row r="597" spans="1:6" ht="12">
      <c r="A597" s="190">
        <v>240314</v>
      </c>
      <c r="B597" s="171" t="s">
        <v>991</v>
      </c>
      <c r="C597" s="169" t="s">
        <v>1325</v>
      </c>
      <c r="D597" s="178" t="s">
        <v>1326</v>
      </c>
      <c r="E597" s="121">
        <v>34321</v>
      </c>
      <c r="F597" s="120">
        <v>0</v>
      </c>
    </row>
    <row r="598" spans="1:6" ht="12">
      <c r="A598" s="190">
        <v>240314</v>
      </c>
      <c r="B598" s="171" t="s">
        <v>991</v>
      </c>
      <c r="C598" s="169" t="s">
        <v>1327</v>
      </c>
      <c r="D598" s="178" t="s">
        <v>1328</v>
      </c>
      <c r="E598" s="121">
        <v>71417</v>
      </c>
      <c r="F598" s="120">
        <v>0</v>
      </c>
    </row>
    <row r="599" spans="1:6" ht="12">
      <c r="A599" s="190">
        <v>240314</v>
      </c>
      <c r="B599" s="171" t="s">
        <v>991</v>
      </c>
      <c r="C599" s="169" t="s">
        <v>1329</v>
      </c>
      <c r="D599" s="178" t="s">
        <v>1330</v>
      </c>
      <c r="E599" s="121">
        <v>29170</v>
      </c>
      <c r="F599" s="120">
        <v>0</v>
      </c>
    </row>
    <row r="600" spans="1:6" ht="12">
      <c r="A600" s="190">
        <v>240314</v>
      </c>
      <c r="B600" s="171" t="s">
        <v>991</v>
      </c>
      <c r="C600" s="169" t="s">
        <v>1331</v>
      </c>
      <c r="D600" s="178" t="s">
        <v>1332</v>
      </c>
      <c r="E600" s="121">
        <v>25308</v>
      </c>
      <c r="F600" s="120">
        <v>0</v>
      </c>
    </row>
    <row r="601" spans="1:6" ht="12">
      <c r="A601" s="190">
        <v>240314</v>
      </c>
      <c r="B601" s="171" t="s">
        <v>991</v>
      </c>
      <c r="C601" s="169" t="s">
        <v>1333</v>
      </c>
      <c r="D601" s="178" t="s">
        <v>1334</v>
      </c>
      <c r="E601" s="121">
        <v>6570</v>
      </c>
      <c r="F601" s="120">
        <v>0</v>
      </c>
    </row>
    <row r="602" spans="1:6" ht="12">
      <c r="A602" s="190">
        <v>240314</v>
      </c>
      <c r="B602" s="171" t="s">
        <v>991</v>
      </c>
      <c r="C602" s="169" t="s">
        <v>1335</v>
      </c>
      <c r="D602" s="178" t="s">
        <v>1336</v>
      </c>
      <c r="E602" s="121">
        <v>16657</v>
      </c>
      <c r="F602" s="120">
        <v>0</v>
      </c>
    </row>
    <row r="603" spans="1:6" ht="12">
      <c r="A603" s="190">
        <v>240314</v>
      </c>
      <c r="B603" s="171" t="s">
        <v>991</v>
      </c>
      <c r="C603" s="169" t="s">
        <v>1337</v>
      </c>
      <c r="D603" s="178" t="s">
        <v>1338</v>
      </c>
      <c r="E603" s="121">
        <v>26428</v>
      </c>
      <c r="F603" s="120">
        <v>0</v>
      </c>
    </row>
    <row r="604" spans="1:6" ht="12">
      <c r="A604" s="190">
        <v>240314</v>
      </c>
      <c r="B604" s="171" t="s">
        <v>991</v>
      </c>
      <c r="C604" s="169" t="s">
        <v>1339</v>
      </c>
      <c r="D604" s="178" t="s">
        <v>1340</v>
      </c>
      <c r="E604" s="121">
        <v>28813</v>
      </c>
      <c r="F604" s="120">
        <v>0</v>
      </c>
    </row>
    <row r="605" spans="1:6" ht="12">
      <c r="A605" s="190">
        <v>240314</v>
      </c>
      <c r="B605" s="171" t="s">
        <v>991</v>
      </c>
      <c r="C605" s="169" t="s">
        <v>1341</v>
      </c>
      <c r="D605" s="178" t="s">
        <v>1342</v>
      </c>
      <c r="E605" s="121">
        <v>32139</v>
      </c>
      <c r="F605" s="120">
        <v>0</v>
      </c>
    </row>
    <row r="606" spans="1:6" ht="12">
      <c r="A606" s="190">
        <v>240314</v>
      </c>
      <c r="B606" s="171" t="s">
        <v>991</v>
      </c>
      <c r="C606" s="169" t="s">
        <v>1343</v>
      </c>
      <c r="D606" s="178" t="s">
        <v>1344</v>
      </c>
      <c r="E606" s="121">
        <v>33340</v>
      </c>
      <c r="F606" s="120">
        <v>0</v>
      </c>
    </row>
    <row r="607" spans="1:6" ht="12">
      <c r="A607" s="190">
        <v>240314</v>
      </c>
      <c r="B607" s="171" t="s">
        <v>991</v>
      </c>
      <c r="C607" s="169" t="s">
        <v>1345</v>
      </c>
      <c r="D607" s="178" t="s">
        <v>1241</v>
      </c>
      <c r="E607" s="121">
        <v>0</v>
      </c>
      <c r="F607" s="120">
        <v>0</v>
      </c>
    </row>
    <row r="608" spans="1:6" ht="12">
      <c r="A608" s="190">
        <v>240314</v>
      </c>
      <c r="B608" s="171" t="s">
        <v>991</v>
      </c>
      <c r="C608" s="169" t="s">
        <v>1346</v>
      </c>
      <c r="D608" s="178" t="s">
        <v>1347</v>
      </c>
      <c r="E608" s="121">
        <v>18348</v>
      </c>
      <c r="F608" s="120">
        <v>0</v>
      </c>
    </row>
    <row r="609" spans="1:6" ht="12">
      <c r="A609" s="190">
        <v>240314</v>
      </c>
      <c r="B609" s="171" t="s">
        <v>991</v>
      </c>
      <c r="C609" s="169" t="s">
        <v>1348</v>
      </c>
      <c r="D609" s="178" t="s">
        <v>1349</v>
      </c>
      <c r="E609" s="121">
        <v>26039</v>
      </c>
      <c r="F609" s="120">
        <v>0</v>
      </c>
    </row>
    <row r="610" spans="1:6" ht="12">
      <c r="A610" s="190">
        <v>240314</v>
      </c>
      <c r="B610" s="171" t="s">
        <v>991</v>
      </c>
      <c r="C610" s="169" t="s">
        <v>1350</v>
      </c>
      <c r="D610" s="178" t="s">
        <v>1351</v>
      </c>
      <c r="E610" s="121">
        <v>14176</v>
      </c>
      <c r="F610" s="120">
        <v>0</v>
      </c>
    </row>
    <row r="611" spans="1:6" ht="12">
      <c r="A611" s="190">
        <v>240314</v>
      </c>
      <c r="B611" s="171" t="s">
        <v>991</v>
      </c>
      <c r="C611" s="169" t="s">
        <v>1352</v>
      </c>
      <c r="D611" s="178" t="s">
        <v>1353</v>
      </c>
      <c r="E611" s="121">
        <v>11778</v>
      </c>
      <c r="F611" s="120">
        <v>0</v>
      </c>
    </row>
    <row r="612" spans="1:6" ht="12">
      <c r="A612" s="190">
        <v>240314</v>
      </c>
      <c r="B612" s="171" t="s">
        <v>991</v>
      </c>
      <c r="C612" s="169" t="s">
        <v>1354</v>
      </c>
      <c r="D612" s="178" t="s">
        <v>1355</v>
      </c>
      <c r="E612" s="121">
        <v>9240</v>
      </c>
      <c r="F612" s="120">
        <v>0</v>
      </c>
    </row>
    <row r="613" spans="1:6" ht="12">
      <c r="A613" s="190">
        <v>240314</v>
      </c>
      <c r="B613" s="171" t="s">
        <v>991</v>
      </c>
      <c r="C613" s="169" t="s">
        <v>1356</v>
      </c>
      <c r="D613" s="178" t="s">
        <v>1357</v>
      </c>
      <c r="E613" s="121">
        <v>47434</v>
      </c>
      <c r="F613" s="120">
        <v>0</v>
      </c>
    </row>
    <row r="614" spans="1:6" ht="12">
      <c r="A614" s="190">
        <v>240314</v>
      </c>
      <c r="B614" s="171" t="s">
        <v>991</v>
      </c>
      <c r="C614" s="169">
        <v>213013030</v>
      </c>
      <c r="D614" s="178" t="s">
        <v>1358</v>
      </c>
      <c r="E614" s="121">
        <v>21807</v>
      </c>
      <c r="F614" s="120">
        <v>0</v>
      </c>
    </row>
    <row r="615" spans="1:6" ht="12">
      <c r="A615" s="190">
        <v>240314</v>
      </c>
      <c r="B615" s="171" t="s">
        <v>991</v>
      </c>
      <c r="C615" s="169" t="s">
        <v>1359</v>
      </c>
      <c r="D615" s="178" t="s">
        <v>1360</v>
      </c>
      <c r="E615" s="121">
        <v>15888</v>
      </c>
      <c r="F615" s="120">
        <v>0</v>
      </c>
    </row>
    <row r="616" spans="1:6" ht="12">
      <c r="A616" s="190">
        <v>240314</v>
      </c>
      <c r="B616" s="171" t="s">
        <v>991</v>
      </c>
      <c r="C616" s="169" t="s">
        <v>1361</v>
      </c>
      <c r="D616" s="178" t="s">
        <v>1362</v>
      </c>
      <c r="E616" s="121">
        <v>88088</v>
      </c>
      <c r="F616" s="120">
        <v>0</v>
      </c>
    </row>
    <row r="617" spans="1:6" ht="12">
      <c r="A617" s="190">
        <v>240314</v>
      </c>
      <c r="B617" s="171" t="s">
        <v>991</v>
      </c>
      <c r="C617" s="169" t="s">
        <v>1363</v>
      </c>
      <c r="D617" s="178" t="s">
        <v>1364</v>
      </c>
      <c r="E617" s="121">
        <v>10627</v>
      </c>
      <c r="F617" s="120">
        <v>0</v>
      </c>
    </row>
    <row r="618" spans="1:6" ht="12">
      <c r="A618" s="190">
        <v>240314</v>
      </c>
      <c r="B618" s="171" t="s">
        <v>991</v>
      </c>
      <c r="C618" s="169">
        <v>217413074</v>
      </c>
      <c r="D618" s="178" t="s">
        <v>1365</v>
      </c>
      <c r="E618" s="121">
        <v>37527</v>
      </c>
      <c r="F618" s="120">
        <v>0</v>
      </c>
    </row>
    <row r="619" spans="1:6" ht="12">
      <c r="A619" s="190">
        <v>240314</v>
      </c>
      <c r="B619" s="171" t="s">
        <v>991</v>
      </c>
      <c r="C619" s="169">
        <v>214013140</v>
      </c>
      <c r="D619" s="178" t="s">
        <v>1366</v>
      </c>
      <c r="E619" s="121">
        <v>39857</v>
      </c>
      <c r="F619" s="120">
        <v>0</v>
      </c>
    </row>
    <row r="620" spans="1:6" ht="12">
      <c r="A620" s="190">
        <v>240314</v>
      </c>
      <c r="B620" s="171" t="s">
        <v>991</v>
      </c>
      <c r="C620" s="169" t="s">
        <v>1367</v>
      </c>
      <c r="D620" s="178" t="s">
        <v>1368</v>
      </c>
      <c r="E620" s="121">
        <v>15738</v>
      </c>
      <c r="F620" s="120">
        <v>0</v>
      </c>
    </row>
    <row r="621" spans="1:6" ht="12">
      <c r="A621" s="190">
        <v>240314</v>
      </c>
      <c r="B621" s="171" t="s">
        <v>991</v>
      </c>
      <c r="C621" s="169" t="s">
        <v>1369</v>
      </c>
      <c r="D621" s="178" t="s">
        <v>1370</v>
      </c>
      <c r="E621" s="121">
        <v>22640</v>
      </c>
      <c r="F621" s="120">
        <v>0</v>
      </c>
    </row>
    <row r="622" spans="1:6" ht="12">
      <c r="A622" s="190">
        <v>240314</v>
      </c>
      <c r="B622" s="171" t="s">
        <v>991</v>
      </c>
      <c r="C622" s="169" t="s">
        <v>1371</v>
      </c>
      <c r="D622" s="178" t="s">
        <v>1001</v>
      </c>
      <c r="E622" s="121">
        <v>28926</v>
      </c>
      <c r="F622" s="120">
        <v>0</v>
      </c>
    </row>
    <row r="623" spans="1:6" ht="12">
      <c r="A623" s="190">
        <v>240314</v>
      </c>
      <c r="B623" s="171" t="s">
        <v>991</v>
      </c>
      <c r="C623" s="169" t="s">
        <v>1372</v>
      </c>
      <c r="D623" s="178" t="s">
        <v>1373</v>
      </c>
      <c r="E623" s="121">
        <v>23156</v>
      </c>
      <c r="F623" s="120">
        <v>0</v>
      </c>
    </row>
    <row r="624" spans="1:6" ht="12">
      <c r="A624" s="190">
        <v>240314</v>
      </c>
      <c r="B624" s="171" t="s">
        <v>991</v>
      </c>
      <c r="C624" s="169" t="s">
        <v>1374</v>
      </c>
      <c r="D624" s="178" t="s">
        <v>1375</v>
      </c>
      <c r="E624" s="121">
        <v>107485</v>
      </c>
      <c r="F624" s="120">
        <v>0</v>
      </c>
    </row>
    <row r="625" spans="1:6" ht="12">
      <c r="A625" s="190">
        <v>240314</v>
      </c>
      <c r="B625" s="171" t="s">
        <v>991</v>
      </c>
      <c r="C625" s="169" t="s">
        <v>1376</v>
      </c>
      <c r="D625" s="178" t="s">
        <v>1377</v>
      </c>
      <c r="E625" s="121">
        <v>12027</v>
      </c>
      <c r="F625" s="120">
        <v>0</v>
      </c>
    </row>
    <row r="626" spans="1:6" ht="12">
      <c r="A626" s="190">
        <v>240314</v>
      </c>
      <c r="B626" s="171" t="s">
        <v>991</v>
      </c>
      <c r="C626" s="169" t="s">
        <v>1378</v>
      </c>
      <c r="D626" s="178" t="s">
        <v>1379</v>
      </c>
      <c r="E626" s="121">
        <v>19388</v>
      </c>
      <c r="F626" s="120">
        <v>0</v>
      </c>
    </row>
    <row r="627" spans="1:6" ht="12">
      <c r="A627" s="190">
        <v>240314</v>
      </c>
      <c r="B627" s="171" t="s">
        <v>991</v>
      </c>
      <c r="C627" s="169" t="s">
        <v>1380</v>
      </c>
      <c r="D627" s="178" t="s">
        <v>1381</v>
      </c>
      <c r="E627" s="121">
        <v>25506</v>
      </c>
      <c r="F627" s="120">
        <v>0</v>
      </c>
    </row>
    <row r="628" spans="1:6" ht="12">
      <c r="A628" s="190">
        <v>240314</v>
      </c>
      <c r="B628" s="171" t="s">
        <v>991</v>
      </c>
      <c r="C628" s="169" t="s">
        <v>1382</v>
      </c>
      <c r="D628" s="178" t="s">
        <v>1383</v>
      </c>
      <c r="E628" s="121">
        <v>40738</v>
      </c>
      <c r="F628" s="120">
        <v>0</v>
      </c>
    </row>
    <row r="629" spans="1:6" ht="12">
      <c r="A629" s="190">
        <v>240314</v>
      </c>
      <c r="B629" s="171" t="s">
        <v>991</v>
      </c>
      <c r="C629" s="169" t="s">
        <v>1384</v>
      </c>
      <c r="D629" s="178" t="s">
        <v>1385</v>
      </c>
      <c r="E629" s="121">
        <v>22318</v>
      </c>
      <c r="F629" s="120">
        <v>0</v>
      </c>
    </row>
    <row r="630" spans="1:6" ht="12">
      <c r="A630" s="190">
        <v>240314</v>
      </c>
      <c r="B630" s="171" t="s">
        <v>991</v>
      </c>
      <c r="C630" s="169" t="s">
        <v>1386</v>
      </c>
      <c r="D630" s="178" t="s">
        <v>1387</v>
      </c>
      <c r="E630" s="121">
        <v>93581</v>
      </c>
      <c r="F630" s="120">
        <v>0</v>
      </c>
    </row>
    <row r="631" spans="1:6" ht="12">
      <c r="A631" s="190">
        <v>240314</v>
      </c>
      <c r="B631" s="171" t="s">
        <v>991</v>
      </c>
      <c r="C631" s="169">
        <v>215813458</v>
      </c>
      <c r="D631" s="178" t="s">
        <v>1388</v>
      </c>
      <c r="E631" s="121">
        <v>26673</v>
      </c>
      <c r="F631" s="120">
        <v>0</v>
      </c>
    </row>
    <row r="632" spans="1:6" ht="12">
      <c r="A632" s="190">
        <v>240314</v>
      </c>
      <c r="B632" s="171" t="s">
        <v>991</v>
      </c>
      <c r="C632" s="169">
        <v>216813468</v>
      </c>
      <c r="D632" s="178" t="s">
        <v>1389</v>
      </c>
      <c r="E632" s="121">
        <v>76423</v>
      </c>
      <c r="F632" s="120">
        <v>0</v>
      </c>
    </row>
    <row r="633" spans="1:6" ht="12">
      <c r="A633" s="190">
        <v>240314</v>
      </c>
      <c r="B633" s="171" t="s">
        <v>991</v>
      </c>
      <c r="C633" s="169" t="s">
        <v>1390</v>
      </c>
      <c r="D633" s="178" t="s">
        <v>1391</v>
      </c>
      <c r="E633" s="121">
        <v>36395</v>
      </c>
      <c r="F633" s="120">
        <v>0</v>
      </c>
    </row>
    <row r="634" spans="1:6" ht="12">
      <c r="A634" s="190">
        <v>240314</v>
      </c>
      <c r="B634" s="171" t="s">
        <v>991</v>
      </c>
      <c r="C634" s="169" t="s">
        <v>1392</v>
      </c>
      <c r="D634" s="178" t="s">
        <v>1393</v>
      </c>
      <c r="E634" s="121">
        <v>48276</v>
      </c>
      <c r="F634" s="120">
        <v>0</v>
      </c>
    </row>
    <row r="635" spans="1:6" ht="12">
      <c r="A635" s="190">
        <v>240314</v>
      </c>
      <c r="B635" s="171" t="s">
        <v>991</v>
      </c>
      <c r="C635" s="169" t="s">
        <v>1394</v>
      </c>
      <c r="D635" s="178" t="s">
        <v>1395</v>
      </c>
      <c r="E635" s="121">
        <v>12078</v>
      </c>
      <c r="F635" s="120">
        <v>0</v>
      </c>
    </row>
    <row r="636" spans="1:6" ht="12">
      <c r="A636" s="190">
        <v>240314</v>
      </c>
      <c r="B636" s="171" t="s">
        <v>991</v>
      </c>
      <c r="C636" s="169">
        <v>210013600</v>
      </c>
      <c r="D636" s="178" t="s">
        <v>1396</v>
      </c>
      <c r="E636" s="121">
        <v>29184</v>
      </c>
      <c r="F636" s="120">
        <v>0</v>
      </c>
    </row>
    <row r="637" spans="1:6" ht="12">
      <c r="A637" s="190">
        <v>240314</v>
      </c>
      <c r="B637" s="171" t="s">
        <v>991</v>
      </c>
      <c r="C637" s="169" t="s">
        <v>1397</v>
      </c>
      <c r="D637" s="178" t="s">
        <v>1398</v>
      </c>
      <c r="E637" s="121">
        <v>10446</v>
      </c>
      <c r="F637" s="120">
        <v>0</v>
      </c>
    </row>
    <row r="638" spans="1:6" ht="12">
      <c r="A638" s="190">
        <v>240314</v>
      </c>
      <c r="B638" s="171" t="s">
        <v>991</v>
      </c>
      <c r="C638" s="169" t="s">
        <v>1399</v>
      </c>
      <c r="D638" s="178" t="s">
        <v>1400</v>
      </c>
      <c r="E638" s="121">
        <v>22891</v>
      </c>
      <c r="F638" s="120">
        <v>0</v>
      </c>
    </row>
    <row r="639" spans="1:6" ht="12">
      <c r="A639" s="190">
        <v>240314</v>
      </c>
      <c r="B639" s="171" t="s">
        <v>991</v>
      </c>
      <c r="C639" s="169" t="s">
        <v>1401</v>
      </c>
      <c r="D639" s="178" t="s">
        <v>1402</v>
      </c>
      <c r="E639" s="121">
        <v>20260</v>
      </c>
      <c r="F639" s="120">
        <v>0</v>
      </c>
    </row>
    <row r="640" spans="1:6" ht="12">
      <c r="A640" s="190">
        <v>240314</v>
      </c>
      <c r="B640" s="171" t="s">
        <v>991</v>
      </c>
      <c r="C640" s="169" t="s">
        <v>1403</v>
      </c>
      <c r="D640" s="178" t="s">
        <v>1404</v>
      </c>
      <c r="E640" s="121">
        <v>0</v>
      </c>
      <c r="F640" s="120">
        <v>0</v>
      </c>
    </row>
    <row r="641" spans="1:6" ht="12">
      <c r="A641" s="190">
        <v>240314</v>
      </c>
      <c r="B641" s="171" t="s">
        <v>991</v>
      </c>
      <c r="C641" s="169">
        <v>215513655</v>
      </c>
      <c r="D641" s="178" t="s">
        <v>1405</v>
      </c>
      <c r="E641" s="121">
        <v>24140</v>
      </c>
      <c r="F641" s="120">
        <v>0</v>
      </c>
    </row>
    <row r="642" spans="1:6" ht="12">
      <c r="A642" s="190">
        <v>240314</v>
      </c>
      <c r="B642" s="171" t="s">
        <v>991</v>
      </c>
      <c r="C642" s="169">
        <v>215713657</v>
      </c>
      <c r="D642" s="178" t="s">
        <v>1406</v>
      </c>
      <c r="E642" s="121">
        <v>59210</v>
      </c>
      <c r="F642" s="120">
        <v>0</v>
      </c>
    </row>
    <row r="643" spans="1:6" ht="12">
      <c r="A643" s="190">
        <v>240314</v>
      </c>
      <c r="B643" s="171" t="s">
        <v>991</v>
      </c>
      <c r="C643" s="169">
        <v>216713667</v>
      </c>
      <c r="D643" s="178" t="s">
        <v>1407</v>
      </c>
      <c r="E643" s="121">
        <v>37284</v>
      </c>
      <c r="F643" s="120">
        <v>0</v>
      </c>
    </row>
    <row r="644" spans="1:6" ht="12">
      <c r="A644" s="190">
        <v>240314</v>
      </c>
      <c r="B644" s="171" t="s">
        <v>991</v>
      </c>
      <c r="C644" s="169" t="s">
        <v>1408</v>
      </c>
      <c r="D644" s="178" t="s">
        <v>1409</v>
      </c>
      <c r="E644" s="121">
        <v>50972</v>
      </c>
      <c r="F644" s="120">
        <v>0</v>
      </c>
    </row>
    <row r="645" spans="1:6" ht="12">
      <c r="A645" s="190">
        <v>240314</v>
      </c>
      <c r="B645" s="171" t="s">
        <v>991</v>
      </c>
      <c r="C645" s="169" t="s">
        <v>1410</v>
      </c>
      <c r="D645" s="178" t="s">
        <v>1411</v>
      </c>
      <c r="E645" s="121">
        <v>21967</v>
      </c>
      <c r="F645" s="120">
        <v>0</v>
      </c>
    </row>
    <row r="646" spans="1:6" ht="12">
      <c r="A646" s="190">
        <v>240314</v>
      </c>
      <c r="B646" s="171" t="s">
        <v>991</v>
      </c>
      <c r="C646" s="169">
        <v>218313683</v>
      </c>
      <c r="D646" s="178" t="s">
        <v>1412</v>
      </c>
      <c r="E646" s="121">
        <v>30766</v>
      </c>
      <c r="F646" s="120">
        <v>0</v>
      </c>
    </row>
    <row r="647" spans="1:6" ht="12">
      <c r="A647" s="190">
        <v>240314</v>
      </c>
      <c r="B647" s="171" t="s">
        <v>991</v>
      </c>
      <c r="C647" s="169">
        <v>218813688</v>
      </c>
      <c r="D647" s="178" t="s">
        <v>1413</v>
      </c>
      <c r="E647" s="121">
        <v>57757</v>
      </c>
      <c r="F647" s="120">
        <v>0</v>
      </c>
    </row>
    <row r="648" spans="1:6" ht="12">
      <c r="A648" s="190">
        <v>240314</v>
      </c>
      <c r="B648" s="171" t="s">
        <v>991</v>
      </c>
      <c r="C648" s="169" t="s">
        <v>1414</v>
      </c>
      <c r="D648" s="178" t="s">
        <v>1415</v>
      </c>
      <c r="E648" s="121">
        <v>39476</v>
      </c>
      <c r="F648" s="120">
        <v>0</v>
      </c>
    </row>
    <row r="649" spans="1:6" ht="12">
      <c r="A649" s="190">
        <v>240314</v>
      </c>
      <c r="B649" s="171" t="s">
        <v>991</v>
      </c>
      <c r="C649" s="169" t="s">
        <v>1416</v>
      </c>
      <c r="D649" s="178" t="s">
        <v>1417</v>
      </c>
      <c r="E649" s="121">
        <v>12956</v>
      </c>
      <c r="F649" s="120">
        <v>0</v>
      </c>
    </row>
    <row r="650" spans="1:6" ht="12">
      <c r="A650" s="190">
        <v>240314</v>
      </c>
      <c r="B650" s="171" t="s">
        <v>991</v>
      </c>
      <c r="C650" s="169" t="s">
        <v>1418</v>
      </c>
      <c r="D650" s="178" t="s">
        <v>1419</v>
      </c>
      <c r="E650" s="121">
        <v>24381</v>
      </c>
      <c r="F650" s="120">
        <v>0</v>
      </c>
    </row>
    <row r="651" spans="1:6" ht="12">
      <c r="A651" s="190">
        <v>240314</v>
      </c>
      <c r="B651" s="171" t="s">
        <v>991</v>
      </c>
      <c r="C651" s="169" t="s">
        <v>1420</v>
      </c>
      <c r="D651" s="178" t="s">
        <v>1421</v>
      </c>
      <c r="E651" s="121">
        <v>37580</v>
      </c>
      <c r="F651" s="120">
        <v>0</v>
      </c>
    </row>
    <row r="652" spans="1:6" ht="12">
      <c r="A652" s="190">
        <v>240314</v>
      </c>
      <c r="B652" s="171" t="s">
        <v>991</v>
      </c>
      <c r="C652" s="169" t="s">
        <v>1422</v>
      </c>
      <c r="D652" s="178" t="s">
        <v>1423</v>
      </c>
      <c r="E652" s="121">
        <v>70708</v>
      </c>
      <c r="F652" s="120">
        <v>0</v>
      </c>
    </row>
    <row r="653" spans="1:6" ht="12">
      <c r="A653" s="190">
        <v>240314</v>
      </c>
      <c r="B653" s="171" t="s">
        <v>991</v>
      </c>
      <c r="C653" s="169" t="s">
        <v>1424</v>
      </c>
      <c r="D653" s="178" t="s">
        <v>1425</v>
      </c>
      <c r="E653" s="121">
        <v>23588</v>
      </c>
      <c r="F653" s="120">
        <v>0</v>
      </c>
    </row>
    <row r="654" spans="1:6" ht="12">
      <c r="A654" s="190">
        <v>240314</v>
      </c>
      <c r="B654" s="171" t="s">
        <v>991</v>
      </c>
      <c r="C654" s="169" t="s">
        <v>1426</v>
      </c>
      <c r="D654" s="178" t="s">
        <v>1427</v>
      </c>
      <c r="E654" s="121">
        <v>29733</v>
      </c>
      <c r="F654" s="120">
        <v>0</v>
      </c>
    </row>
    <row r="655" spans="1:6" ht="12">
      <c r="A655" s="190">
        <v>240314</v>
      </c>
      <c r="B655" s="171" t="s">
        <v>991</v>
      </c>
      <c r="C655" s="169" t="s">
        <v>1428</v>
      </c>
      <c r="D655" s="178" t="s">
        <v>1429</v>
      </c>
      <c r="E655" s="121">
        <v>17725</v>
      </c>
      <c r="F655" s="120">
        <v>0</v>
      </c>
    </row>
    <row r="656" spans="1:6" ht="12">
      <c r="A656" s="190">
        <v>240314</v>
      </c>
      <c r="B656" s="171" t="s">
        <v>991</v>
      </c>
      <c r="C656" s="169" t="s">
        <v>1430</v>
      </c>
      <c r="D656" s="178" t="s">
        <v>1431</v>
      </c>
      <c r="E656" s="121">
        <v>2200</v>
      </c>
      <c r="F656" s="120">
        <v>0</v>
      </c>
    </row>
    <row r="657" spans="1:6" ht="12">
      <c r="A657" s="190">
        <v>240314</v>
      </c>
      <c r="B657" s="171" t="s">
        <v>991</v>
      </c>
      <c r="C657" s="169" t="s">
        <v>1432</v>
      </c>
      <c r="D657" s="178" t="s">
        <v>1433</v>
      </c>
      <c r="E657" s="121">
        <v>19489</v>
      </c>
      <c r="F657" s="120">
        <v>0</v>
      </c>
    </row>
    <row r="658" spans="1:6" ht="12">
      <c r="A658" s="190">
        <v>240314</v>
      </c>
      <c r="B658" s="171" t="s">
        <v>991</v>
      </c>
      <c r="C658" s="169" t="s">
        <v>1434</v>
      </c>
      <c r="D658" s="178" t="s">
        <v>1435</v>
      </c>
      <c r="E658" s="121">
        <v>6474</v>
      </c>
      <c r="F658" s="120">
        <v>0</v>
      </c>
    </row>
    <row r="659" spans="1:6" ht="12">
      <c r="A659" s="190">
        <v>240314</v>
      </c>
      <c r="B659" s="171" t="s">
        <v>991</v>
      </c>
      <c r="C659" s="169" t="s">
        <v>1436</v>
      </c>
      <c r="D659" s="178" t="s">
        <v>1437</v>
      </c>
      <c r="E659" s="121">
        <v>10476</v>
      </c>
      <c r="F659" s="120">
        <v>0</v>
      </c>
    </row>
    <row r="660" spans="1:6" ht="12">
      <c r="A660" s="190">
        <v>240314</v>
      </c>
      <c r="B660" s="171" t="s">
        <v>991</v>
      </c>
      <c r="C660" s="169" t="s">
        <v>1438</v>
      </c>
      <c r="D660" s="178" t="s">
        <v>1439</v>
      </c>
      <c r="E660" s="121">
        <v>2422</v>
      </c>
      <c r="F660" s="120">
        <v>0</v>
      </c>
    </row>
    <row r="661" spans="1:6" ht="12">
      <c r="A661" s="190">
        <v>240314</v>
      </c>
      <c r="B661" s="171" t="s">
        <v>991</v>
      </c>
      <c r="C661" s="169" t="s">
        <v>1440</v>
      </c>
      <c r="D661" s="178" t="s">
        <v>1441</v>
      </c>
      <c r="E661" s="121">
        <v>2958</v>
      </c>
      <c r="F661" s="120">
        <v>0</v>
      </c>
    </row>
    <row r="662" spans="1:6" ht="12">
      <c r="A662" s="190">
        <v>240314</v>
      </c>
      <c r="B662" s="171" t="s">
        <v>991</v>
      </c>
      <c r="C662" s="169" t="s">
        <v>1442</v>
      </c>
      <c r="D662" s="178" t="s">
        <v>1443</v>
      </c>
      <c r="E662" s="121">
        <v>9618</v>
      </c>
      <c r="F662" s="120">
        <v>0</v>
      </c>
    </row>
    <row r="663" spans="1:6" ht="12">
      <c r="A663" s="190">
        <v>240314</v>
      </c>
      <c r="B663" s="171" t="s">
        <v>991</v>
      </c>
      <c r="C663" s="169" t="s">
        <v>1444</v>
      </c>
      <c r="D663" s="178" t="s">
        <v>995</v>
      </c>
      <c r="E663" s="121">
        <v>5728</v>
      </c>
      <c r="F663" s="120">
        <v>0</v>
      </c>
    </row>
    <row r="664" spans="1:6" ht="12">
      <c r="A664" s="190">
        <v>240314</v>
      </c>
      <c r="B664" s="171" t="s">
        <v>991</v>
      </c>
      <c r="C664" s="169" t="s">
        <v>1445</v>
      </c>
      <c r="D664" s="178" t="s">
        <v>1446</v>
      </c>
      <c r="E664" s="121">
        <v>3427</v>
      </c>
      <c r="F664" s="120">
        <v>0</v>
      </c>
    </row>
    <row r="665" spans="1:6" ht="12">
      <c r="A665" s="190">
        <v>240314</v>
      </c>
      <c r="B665" s="171" t="s">
        <v>991</v>
      </c>
      <c r="C665" s="169" t="s">
        <v>1447</v>
      </c>
      <c r="D665" s="178" t="s">
        <v>1448</v>
      </c>
      <c r="E665" s="121">
        <v>7472</v>
      </c>
      <c r="F665" s="120">
        <v>0</v>
      </c>
    </row>
    <row r="666" spans="1:6" ht="12">
      <c r="A666" s="190">
        <v>240314</v>
      </c>
      <c r="B666" s="171" t="s">
        <v>991</v>
      </c>
      <c r="C666" s="169">
        <v>211415114</v>
      </c>
      <c r="D666" s="178" t="s">
        <v>1449</v>
      </c>
      <c r="E666" s="121">
        <v>671</v>
      </c>
      <c r="F666" s="120">
        <v>0</v>
      </c>
    </row>
    <row r="667" spans="1:6" ht="12">
      <c r="A667" s="190">
        <v>240314</v>
      </c>
      <c r="B667" s="171" t="s">
        <v>991</v>
      </c>
      <c r="C667" s="169" t="s">
        <v>1450</v>
      </c>
      <c r="D667" s="178" t="s">
        <v>996</v>
      </c>
      <c r="E667" s="121">
        <v>4683</v>
      </c>
      <c r="F667" s="120">
        <v>0</v>
      </c>
    </row>
    <row r="668" spans="1:6" ht="12">
      <c r="A668" s="190">
        <v>240314</v>
      </c>
      <c r="B668" s="171" t="s">
        <v>991</v>
      </c>
      <c r="C668" s="169" t="s">
        <v>1451</v>
      </c>
      <c r="D668" s="178" t="s">
        <v>1452</v>
      </c>
      <c r="E668" s="121">
        <v>4480</v>
      </c>
      <c r="F668" s="120">
        <v>0</v>
      </c>
    </row>
    <row r="669" spans="1:6" ht="12">
      <c r="A669" s="190">
        <v>240314</v>
      </c>
      <c r="B669" s="171" t="s">
        <v>991</v>
      </c>
      <c r="C669" s="169" t="s">
        <v>1453</v>
      </c>
      <c r="D669" s="178" t="s">
        <v>1454</v>
      </c>
      <c r="E669" s="121">
        <v>4869</v>
      </c>
      <c r="F669" s="120">
        <v>0</v>
      </c>
    </row>
    <row r="670" spans="1:6" ht="12">
      <c r="A670" s="190">
        <v>240314</v>
      </c>
      <c r="B670" s="171" t="s">
        <v>991</v>
      </c>
      <c r="C670" s="169" t="s">
        <v>1455</v>
      </c>
      <c r="D670" s="178" t="s">
        <v>1456</v>
      </c>
      <c r="E670" s="121">
        <v>4314</v>
      </c>
      <c r="F670" s="120">
        <v>0</v>
      </c>
    </row>
    <row r="671" spans="1:6" ht="12">
      <c r="A671" s="190">
        <v>240314</v>
      </c>
      <c r="B671" s="171" t="s">
        <v>991</v>
      </c>
      <c r="C671" s="169" t="s">
        <v>1457</v>
      </c>
      <c r="D671" s="178" t="s">
        <v>1458</v>
      </c>
      <c r="E671" s="121">
        <v>66757</v>
      </c>
      <c r="F671" s="120">
        <v>0</v>
      </c>
    </row>
    <row r="672" spans="1:6" ht="12">
      <c r="A672" s="190">
        <v>240314</v>
      </c>
      <c r="B672" s="171" t="s">
        <v>991</v>
      </c>
      <c r="C672" s="169" t="s">
        <v>1459</v>
      </c>
      <c r="D672" s="178" t="s">
        <v>1460</v>
      </c>
      <c r="E672" s="121">
        <v>6835</v>
      </c>
      <c r="F672" s="120">
        <v>0</v>
      </c>
    </row>
    <row r="673" spans="1:6" ht="12">
      <c r="A673" s="190">
        <v>240314</v>
      </c>
      <c r="B673" s="171" t="s">
        <v>991</v>
      </c>
      <c r="C673" s="169" t="s">
        <v>1461</v>
      </c>
      <c r="D673" s="178" t="s">
        <v>1462</v>
      </c>
      <c r="E673" s="121">
        <v>16469</v>
      </c>
      <c r="F673" s="120">
        <v>0</v>
      </c>
    </row>
    <row r="674" spans="1:6" ht="12">
      <c r="A674" s="190">
        <v>240314</v>
      </c>
      <c r="B674" s="171" t="s">
        <v>991</v>
      </c>
      <c r="C674" s="169" t="s">
        <v>1463</v>
      </c>
      <c r="D674" s="178" t="s">
        <v>1464</v>
      </c>
      <c r="E674" s="121">
        <v>9546</v>
      </c>
      <c r="F674" s="120">
        <v>0</v>
      </c>
    </row>
    <row r="675" spans="1:6" ht="12">
      <c r="A675" s="190">
        <v>240314</v>
      </c>
      <c r="B675" s="171" t="s">
        <v>991</v>
      </c>
      <c r="C675" s="169" t="s">
        <v>1465</v>
      </c>
      <c r="D675" s="178" t="s">
        <v>1466</v>
      </c>
      <c r="E675" s="121">
        <v>3542</v>
      </c>
      <c r="F675" s="120">
        <v>0</v>
      </c>
    </row>
    <row r="676" spans="1:6" ht="12">
      <c r="A676" s="190">
        <v>240314</v>
      </c>
      <c r="B676" s="171" t="s">
        <v>991</v>
      </c>
      <c r="C676" s="169">
        <v>218915189</v>
      </c>
      <c r="D676" s="178" t="s">
        <v>1068</v>
      </c>
      <c r="E676" s="121">
        <v>5359</v>
      </c>
      <c r="F676" s="120">
        <v>0</v>
      </c>
    </row>
    <row r="677" spans="1:6" ht="12">
      <c r="A677" s="190">
        <v>240314</v>
      </c>
      <c r="B677" s="171" t="s">
        <v>991</v>
      </c>
      <c r="C677" s="169" t="s">
        <v>1467</v>
      </c>
      <c r="D677" s="178" t="s">
        <v>1468</v>
      </c>
      <c r="E677" s="121">
        <v>10163</v>
      </c>
      <c r="F677" s="120">
        <v>0</v>
      </c>
    </row>
    <row r="678" spans="1:6" ht="12">
      <c r="A678" s="190">
        <v>240314</v>
      </c>
      <c r="B678" s="171" t="s">
        <v>991</v>
      </c>
      <c r="C678" s="169" t="s">
        <v>1469</v>
      </c>
      <c r="D678" s="178" t="s">
        <v>1470</v>
      </c>
      <c r="E678" s="121">
        <v>5184</v>
      </c>
      <c r="F678" s="120">
        <v>0</v>
      </c>
    </row>
    <row r="679" spans="1:6" ht="12">
      <c r="A679" s="190">
        <v>240314</v>
      </c>
      <c r="B679" s="171" t="s">
        <v>991</v>
      </c>
      <c r="C679" s="169" t="s">
        <v>1471</v>
      </c>
      <c r="D679" s="178" t="s">
        <v>1472</v>
      </c>
      <c r="E679" s="121">
        <v>2836</v>
      </c>
      <c r="F679" s="120">
        <v>0</v>
      </c>
    </row>
    <row r="680" spans="1:6" ht="12">
      <c r="A680" s="190">
        <v>240314</v>
      </c>
      <c r="B680" s="171" t="s">
        <v>991</v>
      </c>
      <c r="C680" s="169" t="s">
        <v>1473</v>
      </c>
      <c r="D680" s="178" t="s">
        <v>1474</v>
      </c>
      <c r="E680" s="121">
        <v>4865</v>
      </c>
      <c r="F680" s="120">
        <v>0</v>
      </c>
    </row>
    <row r="681" spans="1:6" ht="12">
      <c r="A681" s="190">
        <v>240314</v>
      </c>
      <c r="B681" s="171" t="s">
        <v>991</v>
      </c>
      <c r="C681" s="169" t="s">
        <v>1475</v>
      </c>
      <c r="D681" s="178" t="s">
        <v>1476</v>
      </c>
      <c r="E681" s="121">
        <v>8924</v>
      </c>
      <c r="F681" s="120">
        <v>0</v>
      </c>
    </row>
    <row r="682" spans="1:6" ht="12">
      <c r="A682" s="190">
        <v>240314</v>
      </c>
      <c r="B682" s="171" t="s">
        <v>991</v>
      </c>
      <c r="C682" s="169" t="s">
        <v>1477</v>
      </c>
      <c r="D682" s="178" t="s">
        <v>1478</v>
      </c>
      <c r="E682" s="121">
        <v>5379</v>
      </c>
      <c r="F682" s="120">
        <v>0</v>
      </c>
    </row>
    <row r="683" spans="1:6" ht="12">
      <c r="A683" s="190">
        <v>240314</v>
      </c>
      <c r="B683" s="171" t="s">
        <v>991</v>
      </c>
      <c r="C683" s="169" t="s">
        <v>1479</v>
      </c>
      <c r="D683" s="178" t="s">
        <v>1480</v>
      </c>
      <c r="E683" s="121">
        <v>2326</v>
      </c>
      <c r="F683" s="120">
        <v>0</v>
      </c>
    </row>
    <row r="684" spans="1:6" ht="12">
      <c r="A684" s="190">
        <v>240314</v>
      </c>
      <c r="B684" s="171" t="s">
        <v>991</v>
      </c>
      <c r="C684" s="169">
        <v>213215232</v>
      </c>
      <c r="D684" s="178" t="s">
        <v>1481</v>
      </c>
      <c r="E684" s="121">
        <v>7380</v>
      </c>
      <c r="F684" s="120">
        <v>0</v>
      </c>
    </row>
    <row r="685" spans="1:6" ht="12">
      <c r="A685" s="190">
        <v>240314</v>
      </c>
      <c r="B685" s="171" t="s">
        <v>991</v>
      </c>
      <c r="C685" s="169" t="s">
        <v>1482</v>
      </c>
      <c r="D685" s="178" t="s">
        <v>1483</v>
      </c>
      <c r="E685" s="121">
        <v>2427</v>
      </c>
      <c r="F685" s="120">
        <v>0</v>
      </c>
    </row>
    <row r="686" spans="1:6" ht="12">
      <c r="A686" s="190">
        <v>240314</v>
      </c>
      <c r="B686" s="171" t="s">
        <v>991</v>
      </c>
      <c r="C686" s="169" t="s">
        <v>1484</v>
      </c>
      <c r="D686" s="178" t="s">
        <v>1485</v>
      </c>
      <c r="E686" s="121">
        <v>6770</v>
      </c>
      <c r="F686" s="120">
        <v>0</v>
      </c>
    </row>
    <row r="687" spans="1:6" ht="12">
      <c r="A687" s="190">
        <v>240314</v>
      </c>
      <c r="B687" s="171" t="s">
        <v>991</v>
      </c>
      <c r="C687" s="169" t="s">
        <v>1486</v>
      </c>
      <c r="D687" s="178" t="s">
        <v>1487</v>
      </c>
      <c r="E687" s="121">
        <v>3537</v>
      </c>
      <c r="F687" s="120">
        <v>0</v>
      </c>
    </row>
    <row r="688" spans="1:6" ht="12">
      <c r="A688" s="190">
        <v>240314</v>
      </c>
      <c r="B688" s="171" t="s">
        <v>991</v>
      </c>
      <c r="C688" s="169" t="s">
        <v>1488</v>
      </c>
      <c r="D688" s="178" t="s">
        <v>1489</v>
      </c>
      <c r="E688" s="121">
        <v>5985</v>
      </c>
      <c r="F688" s="120">
        <v>0</v>
      </c>
    </row>
    <row r="689" spans="1:6" ht="12">
      <c r="A689" s="190">
        <v>240314</v>
      </c>
      <c r="B689" s="171" t="s">
        <v>991</v>
      </c>
      <c r="C689" s="169" t="s">
        <v>1490</v>
      </c>
      <c r="D689" s="178" t="s">
        <v>1491</v>
      </c>
      <c r="E689" s="121">
        <v>4486</v>
      </c>
      <c r="F689" s="120">
        <v>0</v>
      </c>
    </row>
    <row r="690" spans="1:6" ht="12">
      <c r="A690" s="190">
        <v>240314</v>
      </c>
      <c r="B690" s="171" t="s">
        <v>991</v>
      </c>
      <c r="C690" s="169" t="s">
        <v>1492</v>
      </c>
      <c r="D690" s="178" t="s">
        <v>1493</v>
      </c>
      <c r="E690" s="121">
        <v>3760</v>
      </c>
      <c r="F690" s="120">
        <v>0</v>
      </c>
    </row>
    <row r="691" spans="1:6" ht="12">
      <c r="A691" s="190">
        <v>240314</v>
      </c>
      <c r="B691" s="171" t="s">
        <v>991</v>
      </c>
      <c r="C691" s="169" t="s">
        <v>1494</v>
      </c>
      <c r="D691" s="178" t="s">
        <v>1495</v>
      </c>
      <c r="E691" s="121">
        <v>5717</v>
      </c>
      <c r="F691" s="120">
        <v>0</v>
      </c>
    </row>
    <row r="692" spans="1:6" ht="12">
      <c r="A692" s="190">
        <v>240314</v>
      </c>
      <c r="B692" s="171" t="s">
        <v>991</v>
      </c>
      <c r="C692" s="169" t="s">
        <v>1496</v>
      </c>
      <c r="D692" s="178" t="s">
        <v>1497</v>
      </c>
      <c r="E692" s="121">
        <v>20012</v>
      </c>
      <c r="F692" s="120">
        <v>0</v>
      </c>
    </row>
    <row r="693" spans="1:6" ht="12">
      <c r="A693" s="190">
        <v>240314</v>
      </c>
      <c r="B693" s="171" t="s">
        <v>991</v>
      </c>
      <c r="C693" s="169" t="s">
        <v>1498</v>
      </c>
      <c r="D693" s="178" t="s">
        <v>1499</v>
      </c>
      <c r="E693" s="121">
        <v>2407</v>
      </c>
      <c r="F693" s="120">
        <v>0</v>
      </c>
    </row>
    <row r="694" spans="1:6" ht="12">
      <c r="A694" s="190">
        <v>240314</v>
      </c>
      <c r="B694" s="171" t="s">
        <v>991</v>
      </c>
      <c r="C694" s="169" t="s">
        <v>1500</v>
      </c>
      <c r="D694" s="178" t="s">
        <v>1501</v>
      </c>
      <c r="E694" s="121">
        <v>12887</v>
      </c>
      <c r="F694" s="120">
        <v>0</v>
      </c>
    </row>
    <row r="695" spans="1:6" ht="12">
      <c r="A695" s="190">
        <v>240314</v>
      </c>
      <c r="B695" s="171" t="s">
        <v>991</v>
      </c>
      <c r="C695" s="169" t="s">
        <v>1502</v>
      </c>
      <c r="D695" s="178" t="s">
        <v>1503</v>
      </c>
      <c r="E695" s="121">
        <v>4440</v>
      </c>
      <c r="F695" s="120">
        <v>0</v>
      </c>
    </row>
    <row r="696" spans="1:6" ht="12">
      <c r="A696" s="190">
        <v>240314</v>
      </c>
      <c r="B696" s="171" t="s">
        <v>991</v>
      </c>
      <c r="C696" s="169">
        <v>213215332</v>
      </c>
      <c r="D696" s="178" t="s">
        <v>1504</v>
      </c>
      <c r="E696" s="121">
        <v>4780</v>
      </c>
      <c r="F696" s="120">
        <v>0</v>
      </c>
    </row>
    <row r="697" spans="1:6" ht="12">
      <c r="A697" s="190">
        <v>240314</v>
      </c>
      <c r="B697" s="171" t="s">
        <v>991</v>
      </c>
      <c r="C697" s="169" t="s">
        <v>1505</v>
      </c>
      <c r="D697" s="178" t="s">
        <v>1506</v>
      </c>
      <c r="E697" s="121">
        <v>2412</v>
      </c>
      <c r="F697" s="120">
        <v>0</v>
      </c>
    </row>
    <row r="698" spans="1:6" ht="12">
      <c r="A698" s="190">
        <v>240314</v>
      </c>
      <c r="B698" s="171" t="s">
        <v>991</v>
      </c>
      <c r="C698" s="169" t="s">
        <v>1507</v>
      </c>
      <c r="D698" s="178" t="s">
        <v>1508</v>
      </c>
      <c r="E698" s="121">
        <v>7741</v>
      </c>
      <c r="F698" s="120">
        <v>0</v>
      </c>
    </row>
    <row r="699" spans="1:6" ht="12">
      <c r="A699" s="190">
        <v>240314</v>
      </c>
      <c r="B699" s="171" t="s">
        <v>991</v>
      </c>
      <c r="C699" s="169" t="s">
        <v>1509</v>
      </c>
      <c r="D699" s="178" t="s">
        <v>1195</v>
      </c>
      <c r="E699" s="121">
        <v>6261</v>
      </c>
      <c r="F699" s="120">
        <v>0</v>
      </c>
    </row>
    <row r="700" spans="1:6" ht="12">
      <c r="A700" s="190">
        <v>240314</v>
      </c>
      <c r="B700" s="171" t="s">
        <v>991</v>
      </c>
      <c r="C700" s="169" t="s">
        <v>1510</v>
      </c>
      <c r="D700" s="178" t="s">
        <v>1511</v>
      </c>
      <c r="E700" s="121">
        <v>6124</v>
      </c>
      <c r="F700" s="120">
        <v>0</v>
      </c>
    </row>
    <row r="701" spans="1:6" ht="12">
      <c r="A701" s="190">
        <v>240314</v>
      </c>
      <c r="B701" s="171" t="s">
        <v>991</v>
      </c>
      <c r="C701" s="169" t="s">
        <v>1512</v>
      </c>
      <c r="D701" s="178" t="s">
        <v>1513</v>
      </c>
      <c r="E701" s="121">
        <v>2861</v>
      </c>
      <c r="F701" s="120">
        <v>0</v>
      </c>
    </row>
    <row r="702" spans="1:6" ht="12">
      <c r="A702" s="190">
        <v>240314</v>
      </c>
      <c r="B702" s="171" t="s">
        <v>991</v>
      </c>
      <c r="C702" s="169" t="s">
        <v>1514</v>
      </c>
      <c r="D702" s="178" t="s">
        <v>1515</v>
      </c>
      <c r="E702" s="121">
        <v>1939</v>
      </c>
      <c r="F702" s="120">
        <v>0</v>
      </c>
    </row>
    <row r="703" spans="1:6" ht="12">
      <c r="A703" s="190">
        <v>240314</v>
      </c>
      <c r="B703" s="171" t="s">
        <v>991</v>
      </c>
      <c r="C703" s="169" t="s">
        <v>1516</v>
      </c>
      <c r="D703" s="178" t="s">
        <v>1517</v>
      </c>
      <c r="E703" s="121">
        <v>4254</v>
      </c>
      <c r="F703" s="120">
        <v>0</v>
      </c>
    </row>
    <row r="704" spans="1:6" ht="12">
      <c r="A704" s="190">
        <v>240314</v>
      </c>
      <c r="B704" s="171" t="s">
        <v>991</v>
      </c>
      <c r="C704" s="169" t="s">
        <v>1518</v>
      </c>
      <c r="D704" s="178" t="s">
        <v>1519</v>
      </c>
      <c r="E704" s="121">
        <v>13039</v>
      </c>
      <c r="F704" s="120">
        <v>0</v>
      </c>
    </row>
    <row r="705" spans="1:6" ht="12">
      <c r="A705" s="190">
        <v>240314</v>
      </c>
      <c r="B705" s="171" t="s">
        <v>991</v>
      </c>
      <c r="C705" s="169" t="s">
        <v>1520</v>
      </c>
      <c r="D705" s="178" t="s">
        <v>1521</v>
      </c>
      <c r="E705" s="121">
        <v>5601</v>
      </c>
      <c r="F705" s="120">
        <v>0</v>
      </c>
    </row>
    <row r="706" spans="1:6" ht="12">
      <c r="A706" s="190">
        <v>240314</v>
      </c>
      <c r="B706" s="171" t="s">
        <v>991</v>
      </c>
      <c r="C706" s="169" t="s">
        <v>1522</v>
      </c>
      <c r="D706" s="178" t="s">
        <v>1523</v>
      </c>
      <c r="E706" s="121">
        <v>11817</v>
      </c>
      <c r="F706" s="120">
        <v>0</v>
      </c>
    </row>
    <row r="707" spans="1:6" ht="12">
      <c r="A707" s="190">
        <v>240314</v>
      </c>
      <c r="B707" s="171" t="s">
        <v>991</v>
      </c>
      <c r="C707" s="169" t="s">
        <v>1524</v>
      </c>
      <c r="D707" s="178" t="s">
        <v>1525</v>
      </c>
      <c r="E707" s="121">
        <v>10854</v>
      </c>
      <c r="F707" s="120">
        <v>0</v>
      </c>
    </row>
    <row r="708" spans="1:6" ht="12">
      <c r="A708" s="190">
        <v>240314</v>
      </c>
      <c r="B708" s="171" t="s">
        <v>991</v>
      </c>
      <c r="C708" s="169" t="s">
        <v>1526</v>
      </c>
      <c r="D708" s="178" t="s">
        <v>1527</v>
      </c>
      <c r="E708" s="121">
        <v>6313</v>
      </c>
      <c r="F708" s="120">
        <v>0</v>
      </c>
    </row>
    <row r="709" spans="1:6" ht="12">
      <c r="A709" s="190">
        <v>240314</v>
      </c>
      <c r="B709" s="171" t="s">
        <v>991</v>
      </c>
      <c r="C709" s="169" t="s">
        <v>1528</v>
      </c>
      <c r="D709" s="178" t="s">
        <v>1529</v>
      </c>
      <c r="E709" s="121">
        <v>6918</v>
      </c>
      <c r="F709" s="120">
        <v>0</v>
      </c>
    </row>
    <row r="710" spans="1:6" ht="12">
      <c r="A710" s="190">
        <v>240314</v>
      </c>
      <c r="B710" s="171" t="s">
        <v>991</v>
      </c>
      <c r="C710" s="169" t="s">
        <v>1530</v>
      </c>
      <c r="D710" s="178" t="s">
        <v>1531</v>
      </c>
      <c r="E710" s="121">
        <v>27941</v>
      </c>
      <c r="F710" s="120">
        <v>0</v>
      </c>
    </row>
    <row r="711" spans="1:6" ht="12">
      <c r="A711" s="190">
        <v>240314</v>
      </c>
      <c r="B711" s="171" t="s">
        <v>991</v>
      </c>
      <c r="C711" s="169">
        <v>217615476</v>
      </c>
      <c r="D711" s="178" t="s">
        <v>1532</v>
      </c>
      <c r="E711" s="121">
        <v>6722</v>
      </c>
      <c r="F711" s="120">
        <v>0</v>
      </c>
    </row>
    <row r="712" spans="1:6" ht="12">
      <c r="A712" s="190">
        <v>240314</v>
      </c>
      <c r="B712" s="171" t="s">
        <v>991</v>
      </c>
      <c r="C712" s="169" t="s">
        <v>1533</v>
      </c>
      <c r="D712" s="178" t="s">
        <v>1534</v>
      </c>
      <c r="E712" s="121">
        <v>13620</v>
      </c>
      <c r="F712" s="120">
        <v>0</v>
      </c>
    </row>
    <row r="713" spans="1:6" ht="12">
      <c r="A713" s="190">
        <v>240314</v>
      </c>
      <c r="B713" s="171" t="s">
        <v>991</v>
      </c>
      <c r="C713" s="169" t="s">
        <v>1535</v>
      </c>
      <c r="D713" s="178" t="s">
        <v>1536</v>
      </c>
      <c r="E713" s="121">
        <v>15157</v>
      </c>
      <c r="F713" s="120">
        <v>0</v>
      </c>
    </row>
    <row r="714" spans="1:6" ht="12">
      <c r="A714" s="190">
        <v>240314</v>
      </c>
      <c r="B714" s="171" t="s">
        <v>991</v>
      </c>
      <c r="C714" s="169" t="s">
        <v>1537</v>
      </c>
      <c r="D714" s="178" t="s">
        <v>1538</v>
      </c>
      <c r="E714" s="121">
        <v>5874</v>
      </c>
      <c r="F714" s="120">
        <v>0</v>
      </c>
    </row>
    <row r="715" spans="1:6" ht="12">
      <c r="A715" s="190">
        <v>240314</v>
      </c>
      <c r="B715" s="171" t="s">
        <v>991</v>
      </c>
      <c r="C715" s="169" t="s">
        <v>1539</v>
      </c>
      <c r="D715" s="178" t="s">
        <v>1540</v>
      </c>
      <c r="E715" s="121">
        <v>3330</v>
      </c>
      <c r="F715" s="120">
        <v>0</v>
      </c>
    </row>
    <row r="716" spans="1:6" ht="12">
      <c r="A716" s="190">
        <v>240314</v>
      </c>
      <c r="B716" s="171" t="s">
        <v>991</v>
      </c>
      <c r="C716" s="169" t="s">
        <v>1541</v>
      </c>
      <c r="D716" s="178" t="s">
        <v>1542</v>
      </c>
      <c r="E716" s="121">
        <v>13460</v>
      </c>
      <c r="F716" s="120">
        <v>0</v>
      </c>
    </row>
    <row r="717" spans="1:6" ht="12">
      <c r="A717" s="190">
        <v>240314</v>
      </c>
      <c r="B717" s="171" t="s">
        <v>991</v>
      </c>
      <c r="C717" s="169" t="s">
        <v>1543</v>
      </c>
      <c r="D717" s="178" t="s">
        <v>1544</v>
      </c>
      <c r="E717" s="121">
        <v>2372</v>
      </c>
      <c r="F717" s="120">
        <v>0</v>
      </c>
    </row>
    <row r="718" spans="1:6" ht="12">
      <c r="A718" s="190">
        <v>240314</v>
      </c>
      <c r="B718" s="171" t="s">
        <v>991</v>
      </c>
      <c r="C718" s="169">
        <v>211415514</v>
      </c>
      <c r="D718" s="178" t="s">
        <v>1545</v>
      </c>
      <c r="E718" s="121">
        <v>4098</v>
      </c>
      <c r="F718" s="120">
        <v>0</v>
      </c>
    </row>
    <row r="719" spans="1:6" ht="12">
      <c r="A719" s="190">
        <v>240314</v>
      </c>
      <c r="B719" s="171" t="s">
        <v>991</v>
      </c>
      <c r="C719" s="169" t="s">
        <v>1546</v>
      </c>
      <c r="D719" s="178" t="s">
        <v>1547</v>
      </c>
      <c r="E719" s="121">
        <v>32742</v>
      </c>
      <c r="F719" s="120">
        <v>0</v>
      </c>
    </row>
    <row r="720" spans="1:6" ht="12">
      <c r="A720" s="190">
        <v>240314</v>
      </c>
      <c r="B720" s="171" t="s">
        <v>991</v>
      </c>
      <c r="C720" s="169" t="s">
        <v>1548</v>
      </c>
      <c r="D720" s="178" t="s">
        <v>1549</v>
      </c>
      <c r="E720" s="121">
        <v>3104</v>
      </c>
      <c r="F720" s="120">
        <v>0</v>
      </c>
    </row>
    <row r="721" spans="1:6" ht="12">
      <c r="A721" s="190">
        <v>240314</v>
      </c>
      <c r="B721" s="171" t="s">
        <v>991</v>
      </c>
      <c r="C721" s="169">
        <v>212215522</v>
      </c>
      <c r="D721" s="178" t="s">
        <v>1550</v>
      </c>
      <c r="E721" s="121">
        <v>2710</v>
      </c>
      <c r="F721" s="120">
        <v>0</v>
      </c>
    </row>
    <row r="722" spans="1:6" ht="12">
      <c r="A722" s="190">
        <v>240314</v>
      </c>
      <c r="B722" s="171" t="s">
        <v>991</v>
      </c>
      <c r="C722" s="169" t="s">
        <v>1551</v>
      </c>
      <c r="D722" s="178" t="s">
        <v>1552</v>
      </c>
      <c r="E722" s="121">
        <v>12000</v>
      </c>
      <c r="F722" s="120">
        <v>0</v>
      </c>
    </row>
    <row r="723" spans="1:6" ht="12">
      <c r="A723" s="190">
        <v>240314</v>
      </c>
      <c r="B723" s="171" t="s">
        <v>991</v>
      </c>
      <c r="C723" s="169" t="s">
        <v>1553</v>
      </c>
      <c r="D723" s="178" t="s">
        <v>1554</v>
      </c>
      <c r="E723" s="121">
        <v>3942</v>
      </c>
      <c r="F723" s="120">
        <v>0</v>
      </c>
    </row>
    <row r="724" spans="1:6" ht="12">
      <c r="A724" s="190">
        <v>240314</v>
      </c>
      <c r="B724" s="171" t="s">
        <v>991</v>
      </c>
      <c r="C724" s="169" t="s">
        <v>1555</v>
      </c>
      <c r="D724" s="178" t="s">
        <v>1556</v>
      </c>
      <c r="E724" s="121">
        <v>6101</v>
      </c>
      <c r="F724" s="120">
        <v>0</v>
      </c>
    </row>
    <row r="725" spans="1:6" ht="12">
      <c r="A725" s="190">
        <v>240314</v>
      </c>
      <c r="B725" s="171" t="s">
        <v>991</v>
      </c>
      <c r="C725" s="169" t="s">
        <v>1557</v>
      </c>
      <c r="D725" s="178" t="s">
        <v>1558</v>
      </c>
      <c r="E725" s="121">
        <v>9810</v>
      </c>
      <c r="F725" s="120">
        <v>0</v>
      </c>
    </row>
    <row r="726" spans="1:6" ht="12">
      <c r="A726" s="190">
        <v>240314</v>
      </c>
      <c r="B726" s="171" t="s">
        <v>991</v>
      </c>
      <c r="C726" s="169" t="s">
        <v>1559</v>
      </c>
      <c r="D726" s="178" t="s">
        <v>1560</v>
      </c>
      <c r="E726" s="121">
        <v>2373</v>
      </c>
      <c r="F726" s="120">
        <v>0</v>
      </c>
    </row>
    <row r="727" spans="1:6" ht="12">
      <c r="A727" s="190">
        <v>240314</v>
      </c>
      <c r="B727" s="171" t="s">
        <v>991</v>
      </c>
      <c r="C727" s="169" t="s">
        <v>1561</v>
      </c>
      <c r="D727" s="178" t="s">
        <v>1562</v>
      </c>
      <c r="E727" s="121">
        <v>56668</v>
      </c>
      <c r="F727" s="120">
        <v>0</v>
      </c>
    </row>
    <row r="728" spans="1:6" ht="12">
      <c r="A728" s="190">
        <v>240314</v>
      </c>
      <c r="B728" s="171" t="s">
        <v>991</v>
      </c>
      <c r="C728" s="169">
        <v>218015580</v>
      </c>
      <c r="D728" s="178" t="s">
        <v>1563</v>
      </c>
      <c r="E728" s="121">
        <v>9516</v>
      </c>
      <c r="F728" s="120">
        <v>0</v>
      </c>
    </row>
    <row r="729" spans="1:6" ht="12">
      <c r="A729" s="190">
        <v>240314</v>
      </c>
      <c r="B729" s="171" t="s">
        <v>991</v>
      </c>
      <c r="C729" s="169" t="s">
        <v>1564</v>
      </c>
      <c r="D729" s="178" t="s">
        <v>1565</v>
      </c>
      <c r="E729" s="121">
        <v>12333</v>
      </c>
      <c r="F729" s="120">
        <v>0</v>
      </c>
    </row>
    <row r="730" spans="1:6" ht="12">
      <c r="A730" s="190">
        <v>240314</v>
      </c>
      <c r="B730" s="171" t="s">
        <v>991</v>
      </c>
      <c r="C730" s="169">
        <v>210015600</v>
      </c>
      <c r="D730" s="178" t="s">
        <v>1566</v>
      </c>
      <c r="E730" s="121">
        <v>7307</v>
      </c>
      <c r="F730" s="120">
        <v>0</v>
      </c>
    </row>
    <row r="731" spans="1:6" ht="12">
      <c r="A731" s="190">
        <v>240314</v>
      </c>
      <c r="B731" s="171" t="s">
        <v>991</v>
      </c>
      <c r="C731" s="169" t="s">
        <v>1567</v>
      </c>
      <c r="D731" s="178" t="s">
        <v>1568</v>
      </c>
      <c r="E731" s="121">
        <v>3104</v>
      </c>
      <c r="F731" s="120">
        <v>0</v>
      </c>
    </row>
    <row r="732" spans="1:6" ht="12">
      <c r="A732" s="190">
        <v>240314</v>
      </c>
      <c r="B732" s="171" t="s">
        <v>991</v>
      </c>
      <c r="C732" s="169" t="s">
        <v>1569</v>
      </c>
      <c r="D732" s="178" t="s">
        <v>1570</v>
      </c>
      <c r="E732" s="121">
        <v>18481</v>
      </c>
      <c r="F732" s="120">
        <v>0</v>
      </c>
    </row>
    <row r="733" spans="1:6" ht="12">
      <c r="A733" s="190">
        <v>240314</v>
      </c>
      <c r="B733" s="171" t="s">
        <v>991</v>
      </c>
      <c r="C733" s="169" t="s">
        <v>1571</v>
      </c>
      <c r="D733" s="178" t="s">
        <v>1572</v>
      </c>
      <c r="E733" s="121">
        <v>4410</v>
      </c>
      <c r="F733" s="120">
        <v>0</v>
      </c>
    </row>
    <row r="734" spans="1:6" ht="12">
      <c r="A734" s="190">
        <v>240314</v>
      </c>
      <c r="B734" s="171" t="s">
        <v>991</v>
      </c>
      <c r="C734" s="169" t="s">
        <v>1573</v>
      </c>
      <c r="D734" s="178" t="s">
        <v>1574</v>
      </c>
      <c r="E734" s="121">
        <v>20361</v>
      </c>
      <c r="F734" s="120">
        <v>0</v>
      </c>
    </row>
    <row r="735" spans="1:6" ht="12">
      <c r="A735" s="190">
        <v>240314</v>
      </c>
      <c r="B735" s="171" t="s">
        <v>991</v>
      </c>
      <c r="C735" s="169" t="s">
        <v>1575</v>
      </c>
      <c r="D735" s="178" t="s">
        <v>1576</v>
      </c>
      <c r="E735" s="121">
        <v>2644</v>
      </c>
      <c r="F735" s="120">
        <v>0</v>
      </c>
    </row>
    <row r="736" spans="1:6" ht="12">
      <c r="A736" s="190">
        <v>240314</v>
      </c>
      <c r="B736" s="171" t="s">
        <v>991</v>
      </c>
      <c r="C736" s="169" t="s">
        <v>1577</v>
      </c>
      <c r="D736" s="178" t="s">
        <v>1578</v>
      </c>
      <c r="E736" s="121">
        <v>6928</v>
      </c>
      <c r="F736" s="120">
        <v>0</v>
      </c>
    </row>
    <row r="737" spans="1:6" ht="12">
      <c r="A737" s="190">
        <v>240314</v>
      </c>
      <c r="B737" s="171" t="s">
        <v>991</v>
      </c>
      <c r="C737" s="169" t="s">
        <v>1579</v>
      </c>
      <c r="D737" s="178" t="s">
        <v>1580</v>
      </c>
      <c r="E737" s="121">
        <v>7131</v>
      </c>
      <c r="F737" s="120">
        <v>0</v>
      </c>
    </row>
    <row r="738" spans="1:6" ht="12">
      <c r="A738" s="190">
        <v>240314</v>
      </c>
      <c r="B738" s="171" t="s">
        <v>991</v>
      </c>
      <c r="C738" s="169" t="s">
        <v>1581</v>
      </c>
      <c r="D738" s="178" t="s">
        <v>1582</v>
      </c>
      <c r="E738" s="121">
        <v>6359</v>
      </c>
      <c r="F738" s="120">
        <v>0</v>
      </c>
    </row>
    <row r="739" spans="1:6" ht="12">
      <c r="A739" s="190">
        <v>240314</v>
      </c>
      <c r="B739" s="171" t="s">
        <v>991</v>
      </c>
      <c r="C739" s="169">
        <v>217615676</v>
      </c>
      <c r="D739" s="178" t="s">
        <v>1583</v>
      </c>
      <c r="E739" s="121">
        <v>5182</v>
      </c>
      <c r="F739" s="120">
        <v>0</v>
      </c>
    </row>
    <row r="740" spans="1:6" ht="12">
      <c r="A740" s="190">
        <v>240314</v>
      </c>
      <c r="B740" s="171" t="s">
        <v>991</v>
      </c>
      <c r="C740" s="169">
        <v>218115681</v>
      </c>
      <c r="D740" s="178" t="s">
        <v>1584</v>
      </c>
      <c r="E740" s="121">
        <v>12929</v>
      </c>
      <c r="F740" s="120">
        <v>0</v>
      </c>
    </row>
    <row r="741" spans="1:6" ht="12">
      <c r="A741" s="190">
        <v>240314</v>
      </c>
      <c r="B741" s="171" t="s">
        <v>991</v>
      </c>
      <c r="C741" s="169">
        <v>218615686</v>
      </c>
      <c r="D741" s="178" t="s">
        <v>1585</v>
      </c>
      <c r="E741" s="121">
        <v>10259</v>
      </c>
      <c r="F741" s="120">
        <v>0</v>
      </c>
    </row>
    <row r="742" spans="1:6" ht="12">
      <c r="A742" s="190">
        <v>240314</v>
      </c>
      <c r="B742" s="171" t="s">
        <v>991</v>
      </c>
      <c r="C742" s="169">
        <v>219015690</v>
      </c>
      <c r="D742" s="178" t="s">
        <v>1586</v>
      </c>
      <c r="E742" s="121">
        <v>5793</v>
      </c>
      <c r="F742" s="120">
        <v>0</v>
      </c>
    </row>
    <row r="743" spans="1:6" ht="12">
      <c r="A743" s="190">
        <v>240314</v>
      </c>
      <c r="B743" s="171" t="s">
        <v>991</v>
      </c>
      <c r="C743" s="169">
        <v>219315693</v>
      </c>
      <c r="D743" s="178" t="s">
        <v>1587</v>
      </c>
      <c r="E743" s="121">
        <v>12241</v>
      </c>
      <c r="F743" s="120">
        <v>0</v>
      </c>
    </row>
    <row r="744" spans="1:6" ht="12">
      <c r="A744" s="190">
        <v>240314</v>
      </c>
      <c r="B744" s="171" t="s">
        <v>991</v>
      </c>
      <c r="C744" s="169">
        <v>219615696</v>
      </c>
      <c r="D744" s="178" t="s">
        <v>1588</v>
      </c>
      <c r="E744" s="121">
        <v>3134</v>
      </c>
      <c r="F744" s="120">
        <v>0</v>
      </c>
    </row>
    <row r="745" spans="1:6" ht="12">
      <c r="A745" s="190">
        <v>240314</v>
      </c>
      <c r="B745" s="171" t="s">
        <v>991</v>
      </c>
      <c r="C745" s="169">
        <v>212015720</v>
      </c>
      <c r="D745" s="178" t="s">
        <v>1589</v>
      </c>
      <c r="E745" s="121">
        <v>3009</v>
      </c>
      <c r="F745" s="120">
        <v>0</v>
      </c>
    </row>
    <row r="746" spans="1:6" ht="12">
      <c r="A746" s="190">
        <v>240314</v>
      </c>
      <c r="B746" s="171" t="s">
        <v>991</v>
      </c>
      <c r="C746" s="169">
        <v>212315723</v>
      </c>
      <c r="D746" s="178" t="s">
        <v>1590</v>
      </c>
      <c r="E746" s="121">
        <v>1564</v>
      </c>
      <c r="F746" s="120">
        <v>0</v>
      </c>
    </row>
    <row r="747" spans="1:6" ht="12">
      <c r="A747" s="190">
        <v>240314</v>
      </c>
      <c r="B747" s="171" t="s">
        <v>991</v>
      </c>
      <c r="C747" s="169">
        <v>214015740</v>
      </c>
      <c r="D747" s="178" t="s">
        <v>1591</v>
      </c>
      <c r="E747" s="121">
        <v>11470</v>
      </c>
      <c r="F747" s="120">
        <v>0</v>
      </c>
    </row>
    <row r="748" spans="1:6" ht="12">
      <c r="A748" s="190">
        <v>240314</v>
      </c>
      <c r="B748" s="171" t="s">
        <v>991</v>
      </c>
      <c r="C748" s="169">
        <v>215315753</v>
      </c>
      <c r="D748" s="178" t="s">
        <v>1592</v>
      </c>
      <c r="E748" s="121">
        <v>12561</v>
      </c>
      <c r="F748" s="120">
        <v>0</v>
      </c>
    </row>
    <row r="749" spans="1:6" ht="12">
      <c r="A749" s="190">
        <v>240314</v>
      </c>
      <c r="B749" s="171" t="s">
        <v>991</v>
      </c>
      <c r="C749" s="169">
        <v>215515755</v>
      </c>
      <c r="D749" s="178" t="s">
        <v>1593</v>
      </c>
      <c r="E749" s="121">
        <v>10874</v>
      </c>
      <c r="F749" s="120">
        <v>0</v>
      </c>
    </row>
    <row r="750" spans="1:6" ht="12">
      <c r="A750" s="190">
        <v>240314</v>
      </c>
      <c r="B750" s="171" t="s">
        <v>991</v>
      </c>
      <c r="C750" s="169">
        <v>215715757</v>
      </c>
      <c r="D750" s="178" t="s">
        <v>1594</v>
      </c>
      <c r="E750" s="121">
        <v>9290</v>
      </c>
      <c r="F750" s="120">
        <v>0</v>
      </c>
    </row>
    <row r="751" spans="1:6" ht="12">
      <c r="A751" s="190">
        <v>240314</v>
      </c>
      <c r="B751" s="171" t="s">
        <v>991</v>
      </c>
      <c r="C751" s="169">
        <v>216115761</v>
      </c>
      <c r="D751" s="178" t="s">
        <v>1595</v>
      </c>
      <c r="E751" s="121">
        <v>4673</v>
      </c>
      <c r="F751" s="120">
        <v>0</v>
      </c>
    </row>
    <row r="752" spans="1:6" ht="12">
      <c r="A752" s="190">
        <v>240314</v>
      </c>
      <c r="B752" s="171" t="s">
        <v>991</v>
      </c>
      <c r="C752" s="169">
        <v>216215762</v>
      </c>
      <c r="D752" s="178" t="s">
        <v>1596</v>
      </c>
      <c r="E752" s="121">
        <v>4461</v>
      </c>
      <c r="F752" s="120">
        <v>0</v>
      </c>
    </row>
    <row r="753" spans="1:6" ht="12">
      <c r="A753" s="190">
        <v>240314</v>
      </c>
      <c r="B753" s="171" t="s">
        <v>991</v>
      </c>
      <c r="C753" s="169">
        <v>216315763</v>
      </c>
      <c r="D753" s="178" t="s">
        <v>1597</v>
      </c>
      <c r="E753" s="121">
        <v>9512</v>
      </c>
      <c r="F753" s="120">
        <v>0</v>
      </c>
    </row>
    <row r="754" spans="1:6" ht="12">
      <c r="A754" s="190">
        <v>240314</v>
      </c>
      <c r="B754" s="171" t="s">
        <v>991</v>
      </c>
      <c r="C754" s="169">
        <v>216415764</v>
      </c>
      <c r="D754" s="178" t="s">
        <v>1598</v>
      </c>
      <c r="E754" s="121">
        <v>8014</v>
      </c>
      <c r="F754" s="120">
        <v>0</v>
      </c>
    </row>
    <row r="755" spans="1:6" ht="12">
      <c r="A755" s="190">
        <v>240314</v>
      </c>
      <c r="B755" s="171" t="s">
        <v>991</v>
      </c>
      <c r="C755" s="169">
        <v>217415774</v>
      </c>
      <c r="D755" s="178" t="s">
        <v>1599</v>
      </c>
      <c r="E755" s="121">
        <v>3827</v>
      </c>
      <c r="F755" s="120">
        <v>0</v>
      </c>
    </row>
    <row r="756" spans="1:6" ht="12">
      <c r="A756" s="190">
        <v>240314</v>
      </c>
      <c r="B756" s="171" t="s">
        <v>991</v>
      </c>
      <c r="C756" s="169">
        <v>217615776</v>
      </c>
      <c r="D756" s="178" t="s">
        <v>1600</v>
      </c>
      <c r="E756" s="121">
        <v>6080</v>
      </c>
      <c r="F756" s="120">
        <v>0</v>
      </c>
    </row>
    <row r="757" spans="1:6" ht="12">
      <c r="A757" s="190">
        <v>240314</v>
      </c>
      <c r="B757" s="171" t="s">
        <v>991</v>
      </c>
      <c r="C757" s="169">
        <v>217815778</v>
      </c>
      <c r="D757" s="178" t="s">
        <v>1601</v>
      </c>
      <c r="E757" s="121">
        <v>5066</v>
      </c>
      <c r="F757" s="120">
        <v>0</v>
      </c>
    </row>
    <row r="758" spans="1:6" ht="12">
      <c r="A758" s="190">
        <v>240314</v>
      </c>
      <c r="B758" s="171" t="s">
        <v>991</v>
      </c>
      <c r="C758" s="169">
        <v>219015790</v>
      </c>
      <c r="D758" s="178" t="s">
        <v>1602</v>
      </c>
      <c r="E758" s="121">
        <v>7176</v>
      </c>
      <c r="F758" s="120">
        <v>0</v>
      </c>
    </row>
    <row r="759" spans="1:6" ht="12">
      <c r="A759" s="190">
        <v>240314</v>
      </c>
      <c r="B759" s="171" t="s">
        <v>991</v>
      </c>
      <c r="C759" s="169">
        <v>219815798</v>
      </c>
      <c r="D759" s="178" t="s">
        <v>1603</v>
      </c>
      <c r="E759" s="121">
        <v>4794</v>
      </c>
      <c r="F759" s="120">
        <v>0</v>
      </c>
    </row>
    <row r="760" spans="1:6" ht="12">
      <c r="A760" s="190">
        <v>240314</v>
      </c>
      <c r="B760" s="171" t="s">
        <v>991</v>
      </c>
      <c r="C760" s="169">
        <v>210415804</v>
      </c>
      <c r="D760" s="178" t="s">
        <v>1604</v>
      </c>
      <c r="E760" s="121">
        <v>10713</v>
      </c>
      <c r="F760" s="120">
        <v>0</v>
      </c>
    </row>
    <row r="761" spans="1:6" ht="12">
      <c r="A761" s="190">
        <v>240314</v>
      </c>
      <c r="B761" s="171" t="s">
        <v>991</v>
      </c>
      <c r="C761" s="169">
        <v>210615806</v>
      </c>
      <c r="D761" s="178" t="s">
        <v>1605</v>
      </c>
      <c r="E761" s="121">
        <v>13452</v>
      </c>
      <c r="F761" s="120">
        <v>0</v>
      </c>
    </row>
    <row r="762" spans="1:6" ht="12">
      <c r="A762" s="190">
        <v>240314</v>
      </c>
      <c r="B762" s="171" t="s">
        <v>991</v>
      </c>
      <c r="C762" s="169">
        <v>210815808</v>
      </c>
      <c r="D762" s="178" t="s">
        <v>1606</v>
      </c>
      <c r="E762" s="121">
        <v>2810</v>
      </c>
      <c r="F762" s="120">
        <v>0</v>
      </c>
    </row>
    <row r="763" spans="1:6" ht="12">
      <c r="A763" s="190">
        <v>240314</v>
      </c>
      <c r="B763" s="171" t="s">
        <v>991</v>
      </c>
      <c r="C763" s="169">
        <v>211015810</v>
      </c>
      <c r="D763" s="178" t="s">
        <v>1607</v>
      </c>
      <c r="E763" s="121">
        <v>4661</v>
      </c>
      <c r="F763" s="120">
        <v>0</v>
      </c>
    </row>
    <row r="764" spans="1:6" ht="12">
      <c r="A764" s="190">
        <v>240314</v>
      </c>
      <c r="B764" s="171" t="s">
        <v>991</v>
      </c>
      <c r="C764" s="169">
        <v>211415814</v>
      </c>
      <c r="D764" s="178" t="s">
        <v>1608</v>
      </c>
      <c r="E764" s="121">
        <v>11808</v>
      </c>
      <c r="F764" s="120">
        <v>0</v>
      </c>
    </row>
    <row r="765" spans="1:6" ht="12">
      <c r="A765" s="190">
        <v>240314</v>
      </c>
      <c r="B765" s="171" t="s">
        <v>991</v>
      </c>
      <c r="C765" s="169">
        <v>211615816</v>
      </c>
      <c r="D765" s="178" t="s">
        <v>1609</v>
      </c>
      <c r="E765" s="121">
        <v>6399</v>
      </c>
      <c r="F765" s="120">
        <v>0</v>
      </c>
    </row>
    <row r="766" spans="1:6" ht="12">
      <c r="A766" s="190">
        <v>240314</v>
      </c>
      <c r="B766" s="171" t="s">
        <v>991</v>
      </c>
      <c r="C766" s="169">
        <v>212015820</v>
      </c>
      <c r="D766" s="178" t="s">
        <v>1610</v>
      </c>
      <c r="E766" s="121">
        <v>4965</v>
      </c>
      <c r="F766" s="120">
        <v>0</v>
      </c>
    </row>
    <row r="767" spans="1:6" ht="12">
      <c r="A767" s="190">
        <v>240314</v>
      </c>
      <c r="B767" s="171" t="s">
        <v>991</v>
      </c>
      <c r="C767" s="169">
        <v>212215822</v>
      </c>
      <c r="D767" s="178" t="s">
        <v>1611</v>
      </c>
      <c r="E767" s="121">
        <v>6994</v>
      </c>
      <c r="F767" s="120">
        <v>0</v>
      </c>
    </row>
    <row r="768" spans="1:6" ht="12">
      <c r="A768" s="190">
        <v>240314</v>
      </c>
      <c r="B768" s="171" t="s">
        <v>991</v>
      </c>
      <c r="C768" s="169">
        <v>213215832</v>
      </c>
      <c r="D768" s="178" t="s">
        <v>1612</v>
      </c>
      <c r="E768" s="121">
        <v>2279</v>
      </c>
      <c r="F768" s="120">
        <v>0</v>
      </c>
    </row>
    <row r="769" spans="1:6" ht="12">
      <c r="A769" s="190">
        <v>240314</v>
      </c>
      <c r="B769" s="171" t="s">
        <v>991</v>
      </c>
      <c r="C769" s="169">
        <v>213515835</v>
      </c>
      <c r="D769" s="178" t="s">
        <v>1613</v>
      </c>
      <c r="E769" s="121">
        <v>9320</v>
      </c>
      <c r="F769" s="120">
        <v>0</v>
      </c>
    </row>
    <row r="770" spans="1:6" ht="12">
      <c r="A770" s="190">
        <v>240314</v>
      </c>
      <c r="B770" s="171" t="s">
        <v>991</v>
      </c>
      <c r="C770" s="169">
        <v>213715837</v>
      </c>
      <c r="D770" s="178" t="s">
        <v>1614</v>
      </c>
      <c r="E770" s="121">
        <v>11535</v>
      </c>
      <c r="F770" s="120">
        <v>0</v>
      </c>
    </row>
    <row r="771" spans="1:6" ht="12">
      <c r="A771" s="190">
        <v>240314</v>
      </c>
      <c r="B771" s="171" t="s">
        <v>991</v>
      </c>
      <c r="C771" s="169">
        <v>213915839</v>
      </c>
      <c r="D771" s="178" t="s">
        <v>1615</v>
      </c>
      <c r="E771" s="121">
        <v>3088</v>
      </c>
      <c r="F771" s="120">
        <v>0</v>
      </c>
    </row>
    <row r="772" spans="1:6" ht="12">
      <c r="A772" s="190">
        <v>240314</v>
      </c>
      <c r="B772" s="171" t="s">
        <v>991</v>
      </c>
      <c r="C772" s="169">
        <v>214215842</v>
      </c>
      <c r="D772" s="178" t="s">
        <v>1616</v>
      </c>
      <c r="E772" s="121">
        <v>10667</v>
      </c>
      <c r="F772" s="120">
        <v>0</v>
      </c>
    </row>
    <row r="773" spans="1:6" ht="12">
      <c r="A773" s="190">
        <v>240314</v>
      </c>
      <c r="B773" s="171" t="s">
        <v>991</v>
      </c>
      <c r="C773" s="169">
        <v>216115861</v>
      </c>
      <c r="D773" s="178" t="s">
        <v>1617</v>
      </c>
      <c r="E773" s="121">
        <v>18201</v>
      </c>
      <c r="F773" s="120">
        <v>0</v>
      </c>
    </row>
    <row r="774" spans="1:6" ht="12">
      <c r="A774" s="190">
        <v>240314</v>
      </c>
      <c r="B774" s="171" t="s">
        <v>991</v>
      </c>
      <c r="C774" s="169">
        <v>217915879</v>
      </c>
      <c r="D774" s="178" t="s">
        <v>1618</v>
      </c>
      <c r="E774" s="121">
        <v>3936</v>
      </c>
      <c r="F774" s="120">
        <v>0</v>
      </c>
    </row>
    <row r="775" spans="1:6" ht="12">
      <c r="A775" s="190">
        <v>240314</v>
      </c>
      <c r="B775" s="171" t="s">
        <v>991</v>
      </c>
      <c r="C775" s="169">
        <v>219715897</v>
      </c>
      <c r="D775" s="178" t="s">
        <v>1619</v>
      </c>
      <c r="E775" s="121">
        <v>8301</v>
      </c>
      <c r="F775" s="120">
        <v>0</v>
      </c>
    </row>
    <row r="776" spans="1:6" ht="12">
      <c r="A776" s="190">
        <v>240314</v>
      </c>
      <c r="B776" s="171" t="s">
        <v>991</v>
      </c>
      <c r="C776" s="169" t="s">
        <v>1620</v>
      </c>
      <c r="D776" s="178" t="s">
        <v>1621</v>
      </c>
      <c r="E776" s="121">
        <v>30257</v>
      </c>
      <c r="F776" s="120">
        <v>0</v>
      </c>
    </row>
    <row r="777" spans="1:6" ht="12">
      <c r="A777" s="190">
        <v>240314</v>
      </c>
      <c r="B777" s="171" t="s">
        <v>991</v>
      </c>
      <c r="C777" s="169">
        <v>214217042</v>
      </c>
      <c r="D777" s="178" t="s">
        <v>1622</v>
      </c>
      <c r="E777" s="121">
        <v>43198</v>
      </c>
      <c r="F777" s="120">
        <v>0</v>
      </c>
    </row>
    <row r="778" spans="1:6" ht="12">
      <c r="A778" s="190">
        <v>240314</v>
      </c>
      <c r="B778" s="171" t="s">
        <v>991</v>
      </c>
      <c r="C778" s="169">
        <v>215017050</v>
      </c>
      <c r="D778" s="178" t="s">
        <v>1623</v>
      </c>
      <c r="E778" s="121">
        <v>16011</v>
      </c>
      <c r="F778" s="120">
        <v>0</v>
      </c>
    </row>
    <row r="779" spans="1:6" ht="12">
      <c r="A779" s="190">
        <v>240314</v>
      </c>
      <c r="B779" s="171" t="s">
        <v>991</v>
      </c>
      <c r="C779" s="169">
        <v>218817088</v>
      </c>
      <c r="D779" s="178" t="s">
        <v>1624</v>
      </c>
      <c r="E779" s="121">
        <v>13554</v>
      </c>
      <c r="F779" s="120">
        <v>0</v>
      </c>
    </row>
    <row r="780" spans="1:6" ht="12">
      <c r="A780" s="190">
        <v>240314</v>
      </c>
      <c r="B780" s="171" t="s">
        <v>991</v>
      </c>
      <c r="C780" s="169">
        <v>217417174</v>
      </c>
      <c r="D780" s="178" t="s">
        <v>1625</v>
      </c>
      <c r="E780" s="121">
        <v>56902</v>
      </c>
      <c r="F780" s="120">
        <v>0</v>
      </c>
    </row>
    <row r="781" spans="1:6" ht="12">
      <c r="A781" s="190">
        <v>240314</v>
      </c>
      <c r="B781" s="171" t="s">
        <v>991</v>
      </c>
      <c r="C781" s="169">
        <v>217217272</v>
      </c>
      <c r="D781" s="178" t="s">
        <v>1626</v>
      </c>
      <c r="E781" s="121">
        <v>13236</v>
      </c>
      <c r="F781" s="120">
        <v>0</v>
      </c>
    </row>
    <row r="782" spans="1:6" ht="12">
      <c r="A782" s="190">
        <v>240314</v>
      </c>
      <c r="B782" s="171" t="s">
        <v>991</v>
      </c>
      <c r="C782" s="169">
        <v>218017380</v>
      </c>
      <c r="D782" s="178" t="s">
        <v>1627</v>
      </c>
      <c r="E782" s="121">
        <v>81159</v>
      </c>
      <c r="F782" s="120">
        <v>0</v>
      </c>
    </row>
    <row r="783" spans="1:6" ht="12">
      <c r="A783" s="190">
        <v>240314</v>
      </c>
      <c r="B783" s="171" t="s">
        <v>991</v>
      </c>
      <c r="C783" s="169">
        <v>218817388</v>
      </c>
      <c r="D783" s="178" t="s">
        <v>1628</v>
      </c>
      <c r="E783" s="121">
        <v>9467</v>
      </c>
      <c r="F783" s="120">
        <v>0</v>
      </c>
    </row>
    <row r="784" spans="1:6" ht="12">
      <c r="A784" s="190">
        <v>240314</v>
      </c>
      <c r="B784" s="171" t="s">
        <v>991</v>
      </c>
      <c r="C784" s="169">
        <v>213317433</v>
      </c>
      <c r="D784" s="178" t="s">
        <v>1629</v>
      </c>
      <c r="E784" s="121">
        <v>22864</v>
      </c>
      <c r="F784" s="120">
        <v>0</v>
      </c>
    </row>
    <row r="785" spans="1:6" ht="12">
      <c r="A785" s="190">
        <v>240314</v>
      </c>
      <c r="B785" s="171" t="s">
        <v>991</v>
      </c>
      <c r="C785" s="169">
        <v>214217442</v>
      </c>
      <c r="D785" s="178" t="s">
        <v>1630</v>
      </c>
      <c r="E785" s="121">
        <v>12020</v>
      </c>
      <c r="F785" s="120">
        <v>0</v>
      </c>
    </row>
    <row r="786" spans="1:6" ht="12">
      <c r="A786" s="190">
        <v>240314</v>
      </c>
      <c r="B786" s="171" t="s">
        <v>991</v>
      </c>
      <c r="C786" s="169">
        <v>214417444</v>
      </c>
      <c r="D786" s="178" t="s">
        <v>1631</v>
      </c>
      <c r="E786" s="121">
        <v>17697</v>
      </c>
      <c r="F786" s="120">
        <v>0</v>
      </c>
    </row>
    <row r="787" spans="1:6" ht="12">
      <c r="A787" s="190">
        <v>240314</v>
      </c>
      <c r="B787" s="171" t="s">
        <v>991</v>
      </c>
      <c r="C787" s="169">
        <v>214617446</v>
      </c>
      <c r="D787" s="178" t="s">
        <v>1632</v>
      </c>
      <c r="E787" s="121">
        <v>3164</v>
      </c>
      <c r="F787" s="120">
        <v>0</v>
      </c>
    </row>
    <row r="788" spans="1:6" ht="12">
      <c r="A788" s="190">
        <v>240314</v>
      </c>
      <c r="B788" s="171" t="s">
        <v>991</v>
      </c>
      <c r="C788" s="169">
        <v>218617486</v>
      </c>
      <c r="D788" s="178" t="s">
        <v>1633</v>
      </c>
      <c r="E788" s="121">
        <v>28171</v>
      </c>
      <c r="F788" s="120">
        <v>0</v>
      </c>
    </row>
    <row r="789" spans="1:6" ht="12">
      <c r="A789" s="190">
        <v>240314</v>
      </c>
      <c r="B789" s="171" t="s">
        <v>991</v>
      </c>
      <c r="C789" s="169">
        <v>219517495</v>
      </c>
      <c r="D789" s="178" t="s">
        <v>1634</v>
      </c>
      <c r="E789" s="121">
        <v>9170</v>
      </c>
      <c r="F789" s="120">
        <v>0</v>
      </c>
    </row>
    <row r="790" spans="1:6" ht="12">
      <c r="A790" s="190">
        <v>240314</v>
      </c>
      <c r="B790" s="171" t="s">
        <v>991</v>
      </c>
      <c r="C790" s="169">
        <v>211317513</v>
      </c>
      <c r="D790" s="178" t="s">
        <v>1635</v>
      </c>
      <c r="E790" s="121">
        <v>18761</v>
      </c>
      <c r="F790" s="120">
        <v>0</v>
      </c>
    </row>
    <row r="791" spans="1:6" ht="12">
      <c r="A791" s="190">
        <v>240314</v>
      </c>
      <c r="B791" s="171" t="s">
        <v>991</v>
      </c>
      <c r="C791" s="169">
        <v>212417524</v>
      </c>
      <c r="D791" s="178" t="s">
        <v>1636</v>
      </c>
      <c r="E791" s="121">
        <v>21103</v>
      </c>
      <c r="F791" s="120">
        <v>0</v>
      </c>
    </row>
    <row r="792" spans="1:6" ht="12">
      <c r="A792" s="190">
        <v>240314</v>
      </c>
      <c r="B792" s="171" t="s">
        <v>991</v>
      </c>
      <c r="C792" s="169">
        <v>214117541</v>
      </c>
      <c r="D792" s="178" t="s">
        <v>1637</v>
      </c>
      <c r="E792" s="121">
        <v>29918</v>
      </c>
      <c r="F792" s="120">
        <v>0</v>
      </c>
    </row>
    <row r="793" spans="1:6" ht="12">
      <c r="A793" s="190">
        <v>240314</v>
      </c>
      <c r="B793" s="171" t="s">
        <v>991</v>
      </c>
      <c r="C793" s="169">
        <v>211527615</v>
      </c>
      <c r="D793" s="178" t="s">
        <v>1638</v>
      </c>
      <c r="E793" s="121">
        <v>65826</v>
      </c>
      <c r="F793" s="120">
        <v>0</v>
      </c>
    </row>
    <row r="794" spans="1:6" ht="12">
      <c r="A794" s="190">
        <v>240314</v>
      </c>
      <c r="B794" s="171" t="s">
        <v>991</v>
      </c>
      <c r="C794" s="169">
        <v>211617616</v>
      </c>
      <c r="D794" s="178" t="s">
        <v>1009</v>
      </c>
      <c r="E794" s="121">
        <v>12233</v>
      </c>
      <c r="F794" s="120">
        <v>0</v>
      </c>
    </row>
    <row r="795" spans="1:6" ht="12">
      <c r="A795" s="190">
        <v>240314</v>
      </c>
      <c r="B795" s="171" t="s">
        <v>991</v>
      </c>
      <c r="C795" s="169">
        <v>215317653</v>
      </c>
      <c r="D795" s="178" t="s">
        <v>1639</v>
      </c>
      <c r="E795" s="121">
        <v>23024</v>
      </c>
      <c r="F795" s="120">
        <v>0</v>
      </c>
    </row>
    <row r="796" spans="1:6" ht="12">
      <c r="A796" s="190">
        <v>240314</v>
      </c>
      <c r="B796" s="171" t="s">
        <v>991</v>
      </c>
      <c r="C796" s="169">
        <v>216217662</v>
      </c>
      <c r="D796" s="178" t="s">
        <v>1640</v>
      </c>
      <c r="E796" s="121">
        <v>29830</v>
      </c>
      <c r="F796" s="120">
        <v>0</v>
      </c>
    </row>
    <row r="797" spans="1:6" ht="12">
      <c r="A797" s="190">
        <v>240314</v>
      </c>
      <c r="B797" s="171" t="s">
        <v>991</v>
      </c>
      <c r="C797" s="169">
        <v>216517665</v>
      </c>
      <c r="D797" s="178" t="s">
        <v>1641</v>
      </c>
      <c r="E797" s="121">
        <v>7049</v>
      </c>
      <c r="F797" s="120">
        <v>0</v>
      </c>
    </row>
    <row r="798" spans="1:6" ht="12">
      <c r="A798" s="190">
        <v>240314</v>
      </c>
      <c r="B798" s="171" t="s">
        <v>991</v>
      </c>
      <c r="C798" s="169">
        <v>217717777</v>
      </c>
      <c r="D798" s="178" t="s">
        <v>1642</v>
      </c>
      <c r="E798" s="121">
        <v>31527</v>
      </c>
      <c r="F798" s="120">
        <v>0</v>
      </c>
    </row>
    <row r="799" spans="1:6" ht="12">
      <c r="A799" s="190">
        <v>240314</v>
      </c>
      <c r="B799" s="171" t="s">
        <v>991</v>
      </c>
      <c r="C799" s="169">
        <v>216717867</v>
      </c>
      <c r="D799" s="178" t="s">
        <v>1643</v>
      </c>
      <c r="E799" s="121">
        <v>11319</v>
      </c>
      <c r="F799" s="120">
        <v>0</v>
      </c>
    </row>
    <row r="800" spans="1:6" ht="12">
      <c r="A800" s="190">
        <v>240314</v>
      </c>
      <c r="B800" s="171" t="s">
        <v>991</v>
      </c>
      <c r="C800" s="169">
        <v>217317873</v>
      </c>
      <c r="D800" s="178" t="s">
        <v>1644</v>
      </c>
      <c r="E800" s="121">
        <v>45007</v>
      </c>
      <c r="F800" s="120">
        <v>0</v>
      </c>
    </row>
    <row r="801" spans="1:6" ht="12">
      <c r="A801" s="190">
        <v>240314</v>
      </c>
      <c r="B801" s="171" t="s">
        <v>991</v>
      </c>
      <c r="C801" s="169">
        <v>217717877</v>
      </c>
      <c r="D801" s="178" t="s">
        <v>1645</v>
      </c>
      <c r="E801" s="121">
        <v>19064</v>
      </c>
      <c r="F801" s="120">
        <v>0</v>
      </c>
    </row>
    <row r="802" spans="1:6" ht="12">
      <c r="A802" s="190">
        <v>240314</v>
      </c>
      <c r="B802" s="171" t="s">
        <v>991</v>
      </c>
      <c r="C802" s="169">
        <v>212918029</v>
      </c>
      <c r="D802" s="178" t="s">
        <v>1646</v>
      </c>
      <c r="E802" s="121">
        <v>9522</v>
      </c>
      <c r="F802" s="120">
        <v>0</v>
      </c>
    </row>
    <row r="803" spans="1:6" ht="12">
      <c r="A803" s="190">
        <v>240314</v>
      </c>
      <c r="B803" s="171" t="s">
        <v>991</v>
      </c>
      <c r="C803" s="169">
        <v>219418094</v>
      </c>
      <c r="D803" s="178" t="s">
        <v>1647</v>
      </c>
      <c r="E803" s="121">
        <v>17466</v>
      </c>
      <c r="F803" s="120">
        <v>0</v>
      </c>
    </row>
    <row r="804" spans="1:6" ht="12">
      <c r="A804" s="190">
        <v>240314</v>
      </c>
      <c r="B804" s="171" t="s">
        <v>991</v>
      </c>
      <c r="C804" s="169">
        <v>215018150</v>
      </c>
      <c r="D804" s="178" t="s">
        <v>1648</v>
      </c>
      <c r="E804" s="121">
        <v>47576</v>
      </c>
      <c r="F804" s="120">
        <v>0</v>
      </c>
    </row>
    <row r="805" spans="1:6" ht="12">
      <c r="A805" s="190">
        <v>240314</v>
      </c>
      <c r="B805" s="171" t="s">
        <v>991</v>
      </c>
      <c r="C805" s="169" t="s">
        <v>1649</v>
      </c>
      <c r="D805" s="178" t="s">
        <v>1650</v>
      </c>
      <c r="E805" s="121">
        <v>18022</v>
      </c>
      <c r="F805" s="120">
        <v>0</v>
      </c>
    </row>
    <row r="806" spans="1:6" ht="12">
      <c r="A806" s="190">
        <v>240314</v>
      </c>
      <c r="B806" s="171" t="s">
        <v>991</v>
      </c>
      <c r="C806" s="169" t="s">
        <v>1651</v>
      </c>
      <c r="D806" s="178" t="s">
        <v>1652</v>
      </c>
      <c r="E806" s="121">
        <v>31175</v>
      </c>
      <c r="F806" s="120">
        <v>0</v>
      </c>
    </row>
    <row r="807" spans="1:6" ht="12">
      <c r="A807" s="190">
        <v>240314</v>
      </c>
      <c r="B807" s="171" t="s">
        <v>991</v>
      </c>
      <c r="C807" s="169" t="s">
        <v>1653</v>
      </c>
      <c r="D807" s="178" t="s">
        <v>1654</v>
      </c>
      <c r="E807" s="121">
        <v>19797</v>
      </c>
      <c r="F807" s="120">
        <v>0</v>
      </c>
    </row>
    <row r="808" spans="1:6" ht="12">
      <c r="A808" s="190">
        <v>240314</v>
      </c>
      <c r="B808" s="171" t="s">
        <v>991</v>
      </c>
      <c r="C808" s="169" t="s">
        <v>1655</v>
      </c>
      <c r="D808" s="178" t="s">
        <v>1656</v>
      </c>
      <c r="E808" s="121">
        <v>27256</v>
      </c>
      <c r="F808" s="120">
        <v>0</v>
      </c>
    </row>
    <row r="809" spans="1:6" ht="12">
      <c r="A809" s="190">
        <v>240314</v>
      </c>
      <c r="B809" s="171" t="s">
        <v>991</v>
      </c>
      <c r="C809" s="169" t="s">
        <v>1657</v>
      </c>
      <c r="D809" s="178" t="s">
        <v>1658</v>
      </c>
      <c r="E809" s="121">
        <v>25183</v>
      </c>
      <c r="F809" s="120">
        <v>0</v>
      </c>
    </row>
    <row r="810" spans="1:6" ht="12">
      <c r="A810" s="190">
        <v>240314</v>
      </c>
      <c r="B810" s="171" t="s">
        <v>991</v>
      </c>
      <c r="C810" s="169" t="s">
        <v>1659</v>
      </c>
      <c r="D810" s="178" t="s">
        <v>1660</v>
      </c>
      <c r="E810" s="121">
        <v>5304</v>
      </c>
      <c r="F810" s="120">
        <v>0</v>
      </c>
    </row>
    <row r="811" spans="1:6" ht="12">
      <c r="A811" s="190">
        <v>240314</v>
      </c>
      <c r="B811" s="171" t="s">
        <v>991</v>
      </c>
      <c r="C811" s="169" t="s">
        <v>1661</v>
      </c>
      <c r="D811" s="178" t="s">
        <v>1662</v>
      </c>
      <c r="E811" s="121">
        <v>61597</v>
      </c>
      <c r="F811" s="120">
        <v>0</v>
      </c>
    </row>
    <row r="812" spans="1:6" ht="12">
      <c r="A812" s="190">
        <v>240314</v>
      </c>
      <c r="B812" s="171" t="s">
        <v>991</v>
      </c>
      <c r="C812" s="169">
        <v>211018610</v>
      </c>
      <c r="D812" s="178" t="s">
        <v>1663</v>
      </c>
      <c r="E812" s="121">
        <v>22016</v>
      </c>
      <c r="F812" s="120">
        <v>0</v>
      </c>
    </row>
    <row r="813" spans="1:6" ht="12">
      <c r="A813" s="190">
        <v>240314</v>
      </c>
      <c r="B813" s="171" t="s">
        <v>991</v>
      </c>
      <c r="C813" s="169">
        <v>215318753</v>
      </c>
      <c r="D813" s="178" t="s">
        <v>1664</v>
      </c>
      <c r="E813" s="121">
        <v>93570</v>
      </c>
      <c r="F813" s="120">
        <v>0</v>
      </c>
    </row>
    <row r="814" spans="1:6" ht="12">
      <c r="A814" s="190">
        <v>240314</v>
      </c>
      <c r="B814" s="171" t="s">
        <v>991</v>
      </c>
      <c r="C814" s="169">
        <v>215618756</v>
      </c>
      <c r="D814" s="178" t="s">
        <v>1665</v>
      </c>
      <c r="E814" s="121">
        <v>20490</v>
      </c>
      <c r="F814" s="120">
        <v>0</v>
      </c>
    </row>
    <row r="815" spans="1:6" ht="12">
      <c r="A815" s="190">
        <v>240314</v>
      </c>
      <c r="B815" s="171" t="s">
        <v>991</v>
      </c>
      <c r="C815" s="169">
        <v>218518785</v>
      </c>
      <c r="D815" s="178" t="s">
        <v>1666</v>
      </c>
      <c r="E815" s="121">
        <v>13630</v>
      </c>
      <c r="F815" s="120">
        <v>0</v>
      </c>
    </row>
    <row r="816" spans="1:6" ht="12">
      <c r="A816" s="190">
        <v>240314</v>
      </c>
      <c r="B816" s="171" t="s">
        <v>991</v>
      </c>
      <c r="C816" s="169">
        <v>216018860</v>
      </c>
      <c r="D816" s="178" t="s">
        <v>1298</v>
      </c>
      <c r="E816" s="121">
        <v>15877</v>
      </c>
      <c r="F816" s="120">
        <v>0</v>
      </c>
    </row>
    <row r="817" spans="1:6" ht="12">
      <c r="A817" s="190">
        <v>240314</v>
      </c>
      <c r="B817" s="171" t="s">
        <v>991</v>
      </c>
      <c r="C817" s="169" t="s">
        <v>1667</v>
      </c>
      <c r="D817" s="178" t="s">
        <v>1668</v>
      </c>
      <c r="E817" s="121">
        <v>23080</v>
      </c>
      <c r="F817" s="120">
        <v>0</v>
      </c>
    </row>
    <row r="818" spans="1:6" ht="12">
      <c r="A818" s="190">
        <v>240314</v>
      </c>
      <c r="B818" s="171" t="s">
        <v>991</v>
      </c>
      <c r="C818" s="169" t="s">
        <v>1669</v>
      </c>
      <c r="D818" s="178" t="s">
        <v>1114</v>
      </c>
      <c r="E818" s="121">
        <v>32532</v>
      </c>
      <c r="F818" s="120">
        <v>0</v>
      </c>
    </row>
    <row r="819" spans="1:6" ht="12">
      <c r="A819" s="190">
        <v>240314</v>
      </c>
      <c r="B819" s="171" t="s">
        <v>991</v>
      </c>
      <c r="C819" s="169" t="s">
        <v>1670</v>
      </c>
      <c r="D819" s="178" t="s">
        <v>1671</v>
      </c>
      <c r="E819" s="121">
        <v>23512</v>
      </c>
      <c r="F819" s="120">
        <v>0</v>
      </c>
    </row>
    <row r="820" spans="1:6" ht="12">
      <c r="A820" s="190">
        <v>240314</v>
      </c>
      <c r="B820" s="171" t="s">
        <v>991</v>
      </c>
      <c r="C820" s="169" t="s">
        <v>1672</v>
      </c>
      <c r="D820" s="178" t="s">
        <v>994</v>
      </c>
      <c r="E820" s="121">
        <v>53177</v>
      </c>
      <c r="F820" s="120">
        <v>0</v>
      </c>
    </row>
    <row r="821" spans="1:6" ht="12">
      <c r="A821" s="190">
        <v>240314</v>
      </c>
      <c r="B821" s="171" t="s">
        <v>991</v>
      </c>
      <c r="C821" s="169" t="s">
        <v>1673</v>
      </c>
      <c r="D821" s="178" t="s">
        <v>1674</v>
      </c>
      <c r="E821" s="121">
        <v>32371</v>
      </c>
      <c r="F821" s="120">
        <v>0</v>
      </c>
    </row>
    <row r="822" spans="1:6" ht="12">
      <c r="A822" s="190">
        <v>240314</v>
      </c>
      <c r="B822" s="171" t="s">
        <v>991</v>
      </c>
      <c r="C822" s="169" t="s">
        <v>1675</v>
      </c>
      <c r="D822" s="178" t="s">
        <v>1676</v>
      </c>
      <c r="E822" s="121">
        <v>40723</v>
      </c>
      <c r="F822" s="120">
        <v>0</v>
      </c>
    </row>
    <row r="823" spans="1:6" ht="12">
      <c r="A823" s="190">
        <v>240314</v>
      </c>
      <c r="B823" s="171" t="s">
        <v>991</v>
      </c>
      <c r="C823" s="169">
        <v>213719137</v>
      </c>
      <c r="D823" s="178" t="s">
        <v>1677</v>
      </c>
      <c r="E823" s="121">
        <v>51247</v>
      </c>
      <c r="F823" s="120">
        <v>0</v>
      </c>
    </row>
    <row r="824" spans="1:6" ht="12">
      <c r="A824" s="190">
        <v>240314</v>
      </c>
      <c r="B824" s="171" t="s">
        <v>991</v>
      </c>
      <c r="C824" s="169">
        <v>214219142</v>
      </c>
      <c r="D824" s="178" t="s">
        <v>1678</v>
      </c>
      <c r="E824" s="121">
        <v>49566</v>
      </c>
      <c r="F824" s="120">
        <v>0</v>
      </c>
    </row>
    <row r="825" spans="1:6" ht="12">
      <c r="A825" s="190">
        <v>240314</v>
      </c>
      <c r="B825" s="171" t="s">
        <v>991</v>
      </c>
      <c r="C825" s="169">
        <v>211219212</v>
      </c>
      <c r="D825" s="178" t="s">
        <v>1679</v>
      </c>
      <c r="E825" s="121">
        <v>34265</v>
      </c>
      <c r="F825" s="120">
        <v>0</v>
      </c>
    </row>
    <row r="826" spans="1:6" ht="12">
      <c r="A826" s="190">
        <v>240314</v>
      </c>
      <c r="B826" s="171" t="s">
        <v>991</v>
      </c>
      <c r="C826" s="169">
        <v>215619256</v>
      </c>
      <c r="D826" s="178" t="s">
        <v>1680</v>
      </c>
      <c r="E826" s="121">
        <v>57237</v>
      </c>
      <c r="F826" s="120">
        <v>0</v>
      </c>
    </row>
    <row r="827" spans="1:6" ht="12">
      <c r="A827" s="190">
        <v>240314</v>
      </c>
      <c r="B827" s="171" t="s">
        <v>991</v>
      </c>
      <c r="C827" s="169">
        <v>219019290</v>
      </c>
      <c r="D827" s="178" t="s">
        <v>1047</v>
      </c>
      <c r="E827" s="121">
        <v>6272</v>
      </c>
      <c r="F827" s="120">
        <v>0</v>
      </c>
    </row>
    <row r="828" spans="1:6" ht="12">
      <c r="A828" s="190">
        <v>240314</v>
      </c>
      <c r="B828" s="171" t="s">
        <v>991</v>
      </c>
      <c r="C828" s="169">
        <v>211819318</v>
      </c>
      <c r="D828" s="178" t="s">
        <v>1681</v>
      </c>
      <c r="E828" s="121">
        <v>66051</v>
      </c>
      <c r="F828" s="120">
        <v>0</v>
      </c>
    </row>
    <row r="829" spans="1:6" ht="12">
      <c r="A829" s="190">
        <v>240314</v>
      </c>
      <c r="B829" s="171" t="s">
        <v>991</v>
      </c>
      <c r="C829" s="169">
        <v>215519355</v>
      </c>
      <c r="D829" s="178" t="s">
        <v>1682</v>
      </c>
      <c r="E829" s="121">
        <v>44296</v>
      </c>
      <c r="F829" s="120">
        <v>0</v>
      </c>
    </row>
    <row r="830" spans="1:6" ht="12">
      <c r="A830" s="190">
        <v>240314</v>
      </c>
      <c r="B830" s="171" t="s">
        <v>991</v>
      </c>
      <c r="C830" s="169">
        <v>216419364</v>
      </c>
      <c r="D830" s="178" t="s">
        <v>1683</v>
      </c>
      <c r="E830" s="121">
        <v>28749</v>
      </c>
      <c r="F830" s="120">
        <v>0</v>
      </c>
    </row>
    <row r="831" spans="1:6" ht="12">
      <c r="A831" s="190">
        <v>240314</v>
      </c>
      <c r="B831" s="171" t="s">
        <v>991</v>
      </c>
      <c r="C831" s="169">
        <v>219219392</v>
      </c>
      <c r="D831" s="178" t="s">
        <v>1684</v>
      </c>
      <c r="E831" s="121">
        <v>15146</v>
      </c>
      <c r="F831" s="120">
        <v>0</v>
      </c>
    </row>
    <row r="832" spans="1:6" ht="12">
      <c r="A832" s="190">
        <v>240314</v>
      </c>
      <c r="B832" s="171" t="s">
        <v>991</v>
      </c>
      <c r="C832" s="169">
        <v>219719397</v>
      </c>
      <c r="D832" s="178" t="s">
        <v>1685</v>
      </c>
      <c r="E832" s="121">
        <v>32632</v>
      </c>
      <c r="F832" s="120">
        <v>0</v>
      </c>
    </row>
    <row r="833" spans="1:6" ht="12">
      <c r="A833" s="190">
        <v>240314</v>
      </c>
      <c r="B833" s="171" t="s">
        <v>991</v>
      </c>
      <c r="C833" s="169">
        <v>211819418</v>
      </c>
      <c r="D833" s="178" t="s">
        <v>1686</v>
      </c>
      <c r="E833" s="121">
        <v>46271</v>
      </c>
      <c r="F833" s="120">
        <v>0</v>
      </c>
    </row>
    <row r="834" spans="1:6" ht="12">
      <c r="A834" s="190">
        <v>240314</v>
      </c>
      <c r="B834" s="171" t="s">
        <v>991</v>
      </c>
      <c r="C834" s="169">
        <v>215019450</v>
      </c>
      <c r="D834" s="178" t="s">
        <v>1687</v>
      </c>
      <c r="E834" s="121">
        <v>20859</v>
      </c>
      <c r="F834" s="120">
        <v>0</v>
      </c>
    </row>
    <row r="835" spans="1:6" ht="12">
      <c r="A835" s="190">
        <v>240314</v>
      </c>
      <c r="B835" s="171" t="s">
        <v>991</v>
      </c>
      <c r="C835" s="169">
        <v>215519455</v>
      </c>
      <c r="D835" s="178" t="s">
        <v>1688</v>
      </c>
      <c r="E835" s="121">
        <v>33340</v>
      </c>
      <c r="F835" s="120">
        <v>0</v>
      </c>
    </row>
    <row r="836" spans="1:6" ht="12">
      <c r="A836" s="190">
        <v>240314</v>
      </c>
      <c r="B836" s="171" t="s">
        <v>991</v>
      </c>
      <c r="C836" s="169">
        <v>217319473</v>
      </c>
      <c r="D836" s="178" t="s">
        <v>1391</v>
      </c>
      <c r="E836" s="121">
        <v>35727</v>
      </c>
      <c r="F836" s="120">
        <v>0</v>
      </c>
    </row>
    <row r="837" spans="1:6" ht="12">
      <c r="A837" s="190">
        <v>240314</v>
      </c>
      <c r="B837" s="171" t="s">
        <v>991</v>
      </c>
      <c r="C837" s="169">
        <v>211319513</v>
      </c>
      <c r="D837" s="178" t="s">
        <v>1689</v>
      </c>
      <c r="E837" s="121">
        <v>12328</v>
      </c>
      <c r="F837" s="120">
        <v>0</v>
      </c>
    </row>
    <row r="838" spans="1:6" ht="12">
      <c r="A838" s="190">
        <v>240314</v>
      </c>
      <c r="B838" s="171" t="s">
        <v>991</v>
      </c>
      <c r="C838" s="169">
        <v>211719517</v>
      </c>
      <c r="D838" s="178" t="s">
        <v>1545</v>
      </c>
      <c r="E838" s="121">
        <v>61361</v>
      </c>
      <c r="F838" s="120">
        <v>0</v>
      </c>
    </row>
    <row r="839" spans="1:6" ht="12">
      <c r="A839" s="190">
        <v>240314</v>
      </c>
      <c r="B839" s="171" t="s">
        <v>991</v>
      </c>
      <c r="C839" s="169">
        <v>213219532</v>
      </c>
      <c r="D839" s="178" t="s">
        <v>1690</v>
      </c>
      <c r="E839" s="121">
        <v>42416</v>
      </c>
      <c r="F839" s="120">
        <v>0</v>
      </c>
    </row>
    <row r="840" spans="1:6" ht="12">
      <c r="A840" s="190">
        <v>240314</v>
      </c>
      <c r="B840" s="171" t="s">
        <v>991</v>
      </c>
      <c r="C840" s="169">
        <v>213319533</v>
      </c>
      <c r="D840" s="178" t="s">
        <v>1691</v>
      </c>
      <c r="E840" s="121">
        <v>12588</v>
      </c>
      <c r="F840" s="120">
        <v>0</v>
      </c>
    </row>
    <row r="841" spans="1:6" ht="12">
      <c r="A841" s="190">
        <v>240314</v>
      </c>
      <c r="B841" s="171" t="s">
        <v>991</v>
      </c>
      <c r="C841" s="169">
        <v>214819548</v>
      </c>
      <c r="D841" s="178" t="s">
        <v>1692</v>
      </c>
      <c r="E841" s="121">
        <v>41168</v>
      </c>
      <c r="F841" s="120">
        <v>0</v>
      </c>
    </row>
    <row r="842" spans="1:6" ht="12">
      <c r="A842" s="190">
        <v>240314</v>
      </c>
      <c r="B842" s="171" t="s">
        <v>991</v>
      </c>
      <c r="C842" s="169">
        <v>217319573</v>
      </c>
      <c r="D842" s="178" t="s">
        <v>1693</v>
      </c>
      <c r="E842" s="121">
        <v>54224</v>
      </c>
      <c r="F842" s="120">
        <v>0</v>
      </c>
    </row>
    <row r="843" spans="1:6" ht="12">
      <c r="A843" s="190">
        <v>240314</v>
      </c>
      <c r="B843" s="171" t="s">
        <v>991</v>
      </c>
      <c r="C843" s="169">
        <v>218519585</v>
      </c>
      <c r="D843" s="178" t="s">
        <v>1694</v>
      </c>
      <c r="E843" s="121">
        <v>24332</v>
      </c>
      <c r="F843" s="120">
        <v>0</v>
      </c>
    </row>
    <row r="844" spans="1:6" ht="12">
      <c r="A844" s="190">
        <v>240314</v>
      </c>
      <c r="B844" s="171" t="s">
        <v>991</v>
      </c>
      <c r="C844" s="169">
        <v>212219622</v>
      </c>
      <c r="D844" s="178" t="s">
        <v>1695</v>
      </c>
      <c r="E844" s="121">
        <v>12417</v>
      </c>
      <c r="F844" s="120">
        <v>0</v>
      </c>
    </row>
    <row r="845" spans="1:6" ht="12">
      <c r="A845" s="190">
        <v>240314</v>
      </c>
      <c r="B845" s="171" t="s">
        <v>991</v>
      </c>
      <c r="C845" s="169">
        <v>219319693</v>
      </c>
      <c r="D845" s="178" t="s">
        <v>1696</v>
      </c>
      <c r="E845" s="121">
        <v>13587</v>
      </c>
      <c r="F845" s="120">
        <v>0</v>
      </c>
    </row>
    <row r="846" spans="1:6" ht="12">
      <c r="A846" s="190">
        <v>240314</v>
      </c>
      <c r="B846" s="171" t="s">
        <v>991</v>
      </c>
      <c r="C846" s="169">
        <v>219819698</v>
      </c>
      <c r="D846" s="178" t="s">
        <v>1697</v>
      </c>
      <c r="E846" s="121">
        <v>94640</v>
      </c>
      <c r="F846" s="120">
        <v>0</v>
      </c>
    </row>
    <row r="847" spans="1:6" ht="12">
      <c r="A847" s="190">
        <v>240314</v>
      </c>
      <c r="B847" s="171" t="s">
        <v>991</v>
      </c>
      <c r="C847" s="169">
        <v>210119701</v>
      </c>
      <c r="D847" s="178" t="s">
        <v>1412</v>
      </c>
      <c r="E847" s="121">
        <v>10956</v>
      </c>
      <c r="F847" s="120">
        <v>0</v>
      </c>
    </row>
    <row r="848" spans="1:6" ht="12">
      <c r="A848" s="190">
        <v>240314</v>
      </c>
      <c r="B848" s="171" t="s">
        <v>991</v>
      </c>
      <c r="C848" s="169">
        <v>214319743</v>
      </c>
      <c r="D848" s="178" t="s">
        <v>1698</v>
      </c>
      <c r="E848" s="121">
        <v>55549</v>
      </c>
      <c r="F848" s="120">
        <v>0</v>
      </c>
    </row>
    <row r="849" spans="1:6" ht="12">
      <c r="A849" s="190">
        <v>240314</v>
      </c>
      <c r="B849" s="171" t="s">
        <v>991</v>
      </c>
      <c r="C849" s="169">
        <v>216019760</v>
      </c>
      <c r="D849" s="178" t="s">
        <v>1699</v>
      </c>
      <c r="E849" s="121">
        <v>15069</v>
      </c>
      <c r="F849" s="120">
        <v>0</v>
      </c>
    </row>
    <row r="850" spans="1:6" ht="12">
      <c r="A850" s="190">
        <v>240314</v>
      </c>
      <c r="B850" s="171" t="s">
        <v>991</v>
      </c>
      <c r="C850" s="169">
        <v>218019780</v>
      </c>
      <c r="D850" s="178" t="s">
        <v>1700</v>
      </c>
      <c r="E850" s="121">
        <v>30506</v>
      </c>
      <c r="F850" s="120">
        <v>0</v>
      </c>
    </row>
    <row r="851" spans="1:6" ht="12">
      <c r="A851" s="190">
        <v>240314</v>
      </c>
      <c r="B851" s="171" t="s">
        <v>991</v>
      </c>
      <c r="C851" s="169">
        <v>218519785</v>
      </c>
      <c r="D851" s="178" t="s">
        <v>1011</v>
      </c>
      <c r="E851" s="121">
        <v>9321</v>
      </c>
      <c r="F851" s="120">
        <v>0</v>
      </c>
    </row>
    <row r="852" spans="1:6" ht="12">
      <c r="A852" s="190">
        <v>240314</v>
      </c>
      <c r="B852" s="171" t="s">
        <v>991</v>
      </c>
      <c r="C852" s="169">
        <v>210719807</v>
      </c>
      <c r="D852" s="178" t="s">
        <v>1701</v>
      </c>
      <c r="E852" s="121">
        <v>34410</v>
      </c>
      <c r="F852" s="120">
        <v>0</v>
      </c>
    </row>
    <row r="853" spans="1:6" ht="12">
      <c r="A853" s="190">
        <v>240314</v>
      </c>
      <c r="B853" s="171" t="s">
        <v>991</v>
      </c>
      <c r="C853" s="170">
        <v>210919809</v>
      </c>
      <c r="D853" s="178" t="s">
        <v>1702</v>
      </c>
      <c r="E853" s="121">
        <v>53664</v>
      </c>
      <c r="F853" s="120">
        <v>0</v>
      </c>
    </row>
    <row r="854" spans="1:6" ht="12">
      <c r="A854" s="190">
        <v>240314</v>
      </c>
      <c r="B854" s="171" t="s">
        <v>991</v>
      </c>
      <c r="C854" s="170">
        <v>212119821</v>
      </c>
      <c r="D854" s="178" t="s">
        <v>1703</v>
      </c>
      <c r="E854" s="121">
        <v>59510</v>
      </c>
      <c r="F854" s="120">
        <v>0</v>
      </c>
    </row>
    <row r="855" spans="1:6" ht="12">
      <c r="A855" s="190">
        <v>240314</v>
      </c>
      <c r="B855" s="171" t="s">
        <v>991</v>
      </c>
      <c r="C855" s="169">
        <v>212419824</v>
      </c>
      <c r="D855" s="178" t="s">
        <v>1704</v>
      </c>
      <c r="E855" s="121">
        <v>26951</v>
      </c>
      <c r="F855" s="120">
        <v>0</v>
      </c>
    </row>
    <row r="856" spans="1:6" ht="12">
      <c r="A856" s="190">
        <v>240314</v>
      </c>
      <c r="B856" s="171" t="s">
        <v>991</v>
      </c>
      <c r="C856" s="170">
        <v>214519845</v>
      </c>
      <c r="D856" s="178" t="s">
        <v>1705</v>
      </c>
      <c r="E856" s="121">
        <v>16224</v>
      </c>
      <c r="F856" s="120">
        <v>0</v>
      </c>
    </row>
    <row r="857" spans="1:6" ht="12">
      <c r="A857" s="190">
        <v>240314</v>
      </c>
      <c r="B857" s="171" t="s">
        <v>991</v>
      </c>
      <c r="C857" s="170" t="s">
        <v>1706</v>
      </c>
      <c r="D857" s="178" t="s">
        <v>1707</v>
      </c>
      <c r="E857" s="121">
        <v>115684</v>
      </c>
      <c r="F857" s="120">
        <v>0</v>
      </c>
    </row>
    <row r="858" spans="1:6" ht="12">
      <c r="A858" s="190">
        <v>240314</v>
      </c>
      <c r="B858" s="171" t="s">
        <v>991</v>
      </c>
      <c r="C858" s="170" t="s">
        <v>1708</v>
      </c>
      <c r="D858" s="178" t="s">
        <v>1709</v>
      </c>
      <c r="E858" s="121">
        <v>79552</v>
      </c>
      <c r="F858" s="120">
        <v>0</v>
      </c>
    </row>
    <row r="859" spans="1:6" ht="12">
      <c r="A859" s="190">
        <v>240314</v>
      </c>
      <c r="B859" s="171" t="s">
        <v>991</v>
      </c>
      <c r="C859" s="170" t="s">
        <v>1710</v>
      </c>
      <c r="D859" s="178" t="s">
        <v>1711</v>
      </c>
      <c r="E859" s="121">
        <v>36880</v>
      </c>
      <c r="F859" s="120">
        <v>0</v>
      </c>
    </row>
    <row r="860" spans="1:6" ht="12">
      <c r="A860" s="190">
        <v>240314</v>
      </c>
      <c r="B860" s="171" t="s">
        <v>991</v>
      </c>
      <c r="C860" s="170" t="s">
        <v>1712</v>
      </c>
      <c r="D860" s="178" t="s">
        <v>1713</v>
      </c>
      <c r="E860" s="121">
        <v>27007</v>
      </c>
      <c r="F860" s="120">
        <v>0</v>
      </c>
    </row>
    <row r="861" spans="1:6" ht="12">
      <c r="A861" s="190">
        <v>240314</v>
      </c>
      <c r="B861" s="171" t="s">
        <v>991</v>
      </c>
      <c r="C861" s="170" t="s">
        <v>1714</v>
      </c>
      <c r="D861" s="178" t="s">
        <v>1715</v>
      </c>
      <c r="E861" s="121">
        <v>39794</v>
      </c>
      <c r="F861" s="120">
        <v>0</v>
      </c>
    </row>
    <row r="862" spans="1:6" ht="12">
      <c r="A862" s="190">
        <v>240314</v>
      </c>
      <c r="B862" s="171" t="s">
        <v>991</v>
      </c>
      <c r="C862" s="170" t="s">
        <v>1716</v>
      </c>
      <c r="D862" s="178" t="s">
        <v>1717</v>
      </c>
      <c r="E862" s="121">
        <v>64950</v>
      </c>
      <c r="F862" s="120">
        <v>0</v>
      </c>
    </row>
    <row r="863" spans="1:6" ht="12">
      <c r="A863" s="190">
        <v>240314</v>
      </c>
      <c r="B863" s="171" t="s">
        <v>991</v>
      </c>
      <c r="C863" s="170">
        <v>217820178</v>
      </c>
      <c r="D863" s="178" t="s">
        <v>1718</v>
      </c>
      <c r="E863" s="121">
        <v>41378</v>
      </c>
      <c r="F863" s="120">
        <v>0</v>
      </c>
    </row>
    <row r="864" spans="1:6" ht="12">
      <c r="A864" s="190">
        <v>240314</v>
      </c>
      <c r="B864" s="171" t="s">
        <v>991</v>
      </c>
      <c r="C864" s="170" t="s">
        <v>1719</v>
      </c>
      <c r="D864" s="178" t="s">
        <v>1720</v>
      </c>
      <c r="E864" s="121">
        <v>52144</v>
      </c>
      <c r="F864" s="120">
        <v>0</v>
      </c>
    </row>
    <row r="865" spans="1:6" ht="12">
      <c r="A865" s="190">
        <v>240314</v>
      </c>
      <c r="B865" s="171" t="s">
        <v>991</v>
      </c>
      <c r="C865" s="169" t="s">
        <v>1721</v>
      </c>
      <c r="D865" s="178" t="s">
        <v>1722</v>
      </c>
      <c r="E865" s="121">
        <v>38341</v>
      </c>
      <c r="F865" s="120">
        <v>0</v>
      </c>
    </row>
    <row r="866" spans="1:6" ht="12">
      <c r="A866" s="190">
        <v>240314</v>
      </c>
      <c r="B866" s="171" t="s">
        <v>991</v>
      </c>
      <c r="C866" s="169" t="s">
        <v>1723</v>
      </c>
      <c r="D866" s="178" t="s">
        <v>1724</v>
      </c>
      <c r="E866" s="121">
        <v>38805</v>
      </c>
      <c r="F866" s="120">
        <v>0</v>
      </c>
    </row>
    <row r="867" spans="1:6" ht="12">
      <c r="A867" s="190">
        <v>240314</v>
      </c>
      <c r="B867" s="171" t="s">
        <v>991</v>
      </c>
      <c r="C867" s="170" t="s">
        <v>1725</v>
      </c>
      <c r="D867" s="178" t="s">
        <v>1726</v>
      </c>
      <c r="E867" s="121">
        <v>17694</v>
      </c>
      <c r="F867" s="120">
        <v>0</v>
      </c>
    </row>
    <row r="868" spans="1:6" ht="12">
      <c r="A868" s="190">
        <v>240314</v>
      </c>
      <c r="B868" s="171" t="s">
        <v>991</v>
      </c>
      <c r="C868" s="169" t="s">
        <v>1727</v>
      </c>
      <c r="D868" s="178" t="s">
        <v>1728</v>
      </c>
      <c r="E868" s="121">
        <v>6757</v>
      </c>
      <c r="F868" s="120">
        <v>0</v>
      </c>
    </row>
    <row r="869" spans="1:6" ht="12">
      <c r="A869" s="190">
        <v>240314</v>
      </c>
      <c r="B869" s="171" t="s">
        <v>991</v>
      </c>
      <c r="C869" s="170" t="s">
        <v>1729</v>
      </c>
      <c r="D869" s="178" t="s">
        <v>1730</v>
      </c>
      <c r="E869" s="121">
        <v>22617</v>
      </c>
      <c r="F869" s="120">
        <v>0</v>
      </c>
    </row>
    <row r="870" spans="1:6" ht="12">
      <c r="A870" s="190">
        <v>240314</v>
      </c>
      <c r="B870" s="171" t="s">
        <v>991</v>
      </c>
      <c r="C870" s="169" t="s">
        <v>1731</v>
      </c>
      <c r="D870" s="178" t="s">
        <v>1732</v>
      </c>
      <c r="E870" s="121">
        <v>44016</v>
      </c>
      <c r="F870" s="120">
        <v>0</v>
      </c>
    </row>
    <row r="871" spans="1:6" ht="12">
      <c r="A871" s="190">
        <v>240314</v>
      </c>
      <c r="B871" s="171" t="s">
        <v>991</v>
      </c>
      <c r="C871" s="169" t="s">
        <v>1733</v>
      </c>
      <c r="D871" s="178" t="s">
        <v>1734</v>
      </c>
      <c r="E871" s="121">
        <v>14518</v>
      </c>
      <c r="F871" s="120">
        <v>0</v>
      </c>
    </row>
    <row r="872" spans="1:6" ht="12">
      <c r="A872" s="190">
        <v>240314</v>
      </c>
      <c r="B872" s="171" t="s">
        <v>991</v>
      </c>
      <c r="C872" s="169" t="s">
        <v>1735</v>
      </c>
      <c r="D872" s="178" t="s">
        <v>1736</v>
      </c>
      <c r="E872" s="121">
        <v>24743</v>
      </c>
      <c r="F872" s="120">
        <v>0</v>
      </c>
    </row>
    <row r="873" spans="1:6" ht="12">
      <c r="A873" s="190">
        <v>240314</v>
      </c>
      <c r="B873" s="171" t="s">
        <v>991</v>
      </c>
      <c r="C873" s="170" t="s">
        <v>1737</v>
      </c>
      <c r="D873" s="178" t="s">
        <v>1738</v>
      </c>
      <c r="E873" s="121">
        <v>29661</v>
      </c>
      <c r="F873" s="120">
        <v>0</v>
      </c>
    </row>
    <row r="874" spans="1:6" ht="12">
      <c r="A874" s="190">
        <v>240314</v>
      </c>
      <c r="B874" s="171" t="s">
        <v>991</v>
      </c>
      <c r="C874" s="169" t="s">
        <v>1739</v>
      </c>
      <c r="D874" s="178" t="s">
        <v>1740</v>
      </c>
      <c r="E874" s="121">
        <v>34526</v>
      </c>
      <c r="F874" s="120">
        <v>0</v>
      </c>
    </row>
    <row r="875" spans="1:6" ht="12">
      <c r="A875" s="190">
        <v>240314</v>
      </c>
      <c r="B875" s="171" t="s">
        <v>991</v>
      </c>
      <c r="C875" s="169" t="s">
        <v>1741</v>
      </c>
      <c r="D875" s="178" t="s">
        <v>1742</v>
      </c>
      <c r="E875" s="121">
        <v>25387</v>
      </c>
      <c r="F875" s="120">
        <v>0</v>
      </c>
    </row>
    <row r="876" spans="1:6" ht="12">
      <c r="A876" s="190">
        <v>240314</v>
      </c>
      <c r="B876" s="171" t="s">
        <v>991</v>
      </c>
      <c r="C876" s="169" t="s">
        <v>1743</v>
      </c>
      <c r="D876" s="178" t="s">
        <v>1744</v>
      </c>
      <c r="E876" s="121">
        <v>37194</v>
      </c>
      <c r="F876" s="120">
        <v>0</v>
      </c>
    </row>
    <row r="877" spans="1:6" ht="12">
      <c r="A877" s="190">
        <v>240314</v>
      </c>
      <c r="B877" s="171" t="s">
        <v>991</v>
      </c>
      <c r="C877" s="169" t="s">
        <v>1745</v>
      </c>
      <c r="D877" s="178" t="s">
        <v>1746</v>
      </c>
      <c r="E877" s="121">
        <v>26473</v>
      </c>
      <c r="F877" s="120">
        <v>0</v>
      </c>
    </row>
    <row r="878" spans="1:6" ht="12">
      <c r="A878" s="190">
        <v>240314</v>
      </c>
      <c r="B878" s="171" t="s">
        <v>991</v>
      </c>
      <c r="C878" s="169" t="s">
        <v>1747</v>
      </c>
      <c r="D878" s="178" t="s">
        <v>1748</v>
      </c>
      <c r="E878" s="121">
        <v>20264</v>
      </c>
      <c r="F878" s="120">
        <v>0</v>
      </c>
    </row>
    <row r="879" spans="1:6" ht="12">
      <c r="A879" s="190">
        <v>240314</v>
      </c>
      <c r="B879" s="171" t="s">
        <v>991</v>
      </c>
      <c r="C879" s="169" t="s">
        <v>1749</v>
      </c>
      <c r="D879" s="178" t="s">
        <v>1750</v>
      </c>
      <c r="E879" s="121">
        <v>25407</v>
      </c>
      <c r="F879" s="120">
        <v>0</v>
      </c>
    </row>
    <row r="880" spans="1:6" ht="12">
      <c r="A880" s="190">
        <v>240314</v>
      </c>
      <c r="B880" s="171" t="s">
        <v>991</v>
      </c>
      <c r="C880" s="170" t="s">
        <v>1751</v>
      </c>
      <c r="D880" s="178" t="s">
        <v>1752</v>
      </c>
      <c r="E880" s="121">
        <v>29651</v>
      </c>
      <c r="F880" s="120">
        <v>0</v>
      </c>
    </row>
    <row r="881" spans="1:6" ht="12">
      <c r="A881" s="190">
        <v>240314</v>
      </c>
      <c r="B881" s="171" t="s">
        <v>991</v>
      </c>
      <c r="C881" s="169" t="s">
        <v>1753</v>
      </c>
      <c r="D881" s="178" t="s">
        <v>1754</v>
      </c>
      <c r="E881" s="121">
        <v>74383</v>
      </c>
      <c r="F881" s="120">
        <v>0</v>
      </c>
    </row>
    <row r="882" spans="1:6" ht="12">
      <c r="A882" s="190">
        <v>240314</v>
      </c>
      <c r="B882" s="171" t="s">
        <v>991</v>
      </c>
      <c r="C882" s="170" t="s">
        <v>1755</v>
      </c>
      <c r="D882" s="178" t="s">
        <v>1448</v>
      </c>
      <c r="E882" s="121">
        <v>33012</v>
      </c>
      <c r="F882" s="120">
        <v>0</v>
      </c>
    </row>
    <row r="883" spans="1:6" ht="12">
      <c r="A883" s="190">
        <v>240314</v>
      </c>
      <c r="B883" s="171" t="s">
        <v>991</v>
      </c>
      <c r="C883" s="169">
        <v>219023090</v>
      </c>
      <c r="D883" s="178" t="s">
        <v>1756</v>
      </c>
      <c r="E883" s="121">
        <v>36615</v>
      </c>
      <c r="F883" s="120">
        <v>0</v>
      </c>
    </row>
    <row r="884" spans="1:6" ht="12">
      <c r="A884" s="190">
        <v>240314</v>
      </c>
      <c r="B884" s="171" t="s">
        <v>991</v>
      </c>
      <c r="C884" s="169" t="s">
        <v>1757</v>
      </c>
      <c r="D884" s="178" t="s">
        <v>1758</v>
      </c>
      <c r="E884" s="121">
        <v>105976</v>
      </c>
      <c r="F884" s="120">
        <v>0</v>
      </c>
    </row>
    <row r="885" spans="1:6" ht="12">
      <c r="A885" s="190">
        <v>240314</v>
      </c>
      <c r="B885" s="171" t="s">
        <v>991</v>
      </c>
      <c r="C885" s="169" t="s">
        <v>1759</v>
      </c>
      <c r="D885" s="178" t="s">
        <v>1760</v>
      </c>
      <c r="E885" s="121">
        <v>19647</v>
      </c>
      <c r="F885" s="120">
        <v>0</v>
      </c>
    </row>
    <row r="886" spans="1:6" ht="12">
      <c r="A886" s="190">
        <v>240314</v>
      </c>
      <c r="B886" s="171" t="s">
        <v>991</v>
      </c>
      <c r="C886" s="169" t="s">
        <v>1761</v>
      </c>
      <c r="D886" s="178" t="s">
        <v>1762</v>
      </c>
      <c r="E886" s="121">
        <v>67159</v>
      </c>
      <c r="F886" s="120">
        <v>0</v>
      </c>
    </row>
    <row r="887" spans="1:6" ht="12">
      <c r="A887" s="190">
        <v>240314</v>
      </c>
      <c r="B887" s="171" t="s">
        <v>991</v>
      </c>
      <c r="C887" s="169">
        <v>218923189</v>
      </c>
      <c r="D887" s="178" t="s">
        <v>1763</v>
      </c>
      <c r="E887" s="121">
        <v>79159</v>
      </c>
      <c r="F887" s="120">
        <v>0</v>
      </c>
    </row>
    <row r="888" spans="1:6" ht="12">
      <c r="A888" s="190">
        <v>240314</v>
      </c>
      <c r="B888" s="171" t="s">
        <v>991</v>
      </c>
      <c r="C888" s="169" t="s">
        <v>1764</v>
      </c>
      <c r="D888" s="178" t="s">
        <v>1765</v>
      </c>
      <c r="E888" s="121">
        <v>26163</v>
      </c>
      <c r="F888" s="120">
        <v>0</v>
      </c>
    </row>
    <row r="889" spans="1:6" ht="12">
      <c r="A889" s="190">
        <v>240314</v>
      </c>
      <c r="B889" s="171" t="s">
        <v>991</v>
      </c>
      <c r="C889" s="169" t="s">
        <v>1766</v>
      </c>
      <c r="D889" s="178" t="s">
        <v>1767</v>
      </c>
      <c r="E889" s="121">
        <v>20864</v>
      </c>
      <c r="F889" s="120">
        <v>0</v>
      </c>
    </row>
    <row r="890" spans="1:6" ht="12">
      <c r="A890" s="190">
        <v>240314</v>
      </c>
      <c r="B890" s="171" t="s">
        <v>991</v>
      </c>
      <c r="C890" s="169" t="s">
        <v>1768</v>
      </c>
      <c r="D890" s="178" t="s">
        <v>1769</v>
      </c>
      <c r="E890" s="121">
        <v>32084</v>
      </c>
      <c r="F890" s="120">
        <v>0</v>
      </c>
    </row>
    <row r="891" spans="1:6" ht="12">
      <c r="A891" s="190">
        <v>240314</v>
      </c>
      <c r="B891" s="171" t="s">
        <v>991</v>
      </c>
      <c r="C891" s="169" t="s">
        <v>1770</v>
      </c>
      <c r="D891" s="178" t="s">
        <v>1771</v>
      </c>
      <c r="E891" s="121">
        <v>25289</v>
      </c>
      <c r="F891" s="120">
        <v>0</v>
      </c>
    </row>
    <row r="892" spans="1:6" ht="12">
      <c r="A892" s="190">
        <v>240314</v>
      </c>
      <c r="B892" s="171" t="s">
        <v>991</v>
      </c>
      <c r="C892" s="169" t="s">
        <v>1772</v>
      </c>
      <c r="D892" s="178" t="s">
        <v>1773</v>
      </c>
      <c r="E892" s="121">
        <v>107788</v>
      </c>
      <c r="F892" s="120">
        <v>0</v>
      </c>
    </row>
    <row r="893" spans="1:6" ht="12">
      <c r="A893" s="190">
        <v>240314</v>
      </c>
      <c r="B893" s="171" t="s">
        <v>991</v>
      </c>
      <c r="C893" s="169" t="s">
        <v>1774</v>
      </c>
      <c r="D893" s="178" t="s">
        <v>1775</v>
      </c>
      <c r="E893" s="121">
        <v>57265</v>
      </c>
      <c r="F893" s="120">
        <v>0</v>
      </c>
    </row>
    <row r="894" spans="1:6" ht="12">
      <c r="A894" s="190">
        <v>240314</v>
      </c>
      <c r="B894" s="171" t="s">
        <v>991</v>
      </c>
      <c r="C894" s="169" t="s">
        <v>1776</v>
      </c>
      <c r="D894" s="178" t="s">
        <v>1777</v>
      </c>
      <c r="E894" s="121">
        <v>94767</v>
      </c>
      <c r="F894" s="120">
        <v>0</v>
      </c>
    </row>
    <row r="895" spans="1:6" ht="12">
      <c r="A895" s="190">
        <v>240314</v>
      </c>
      <c r="B895" s="171" t="s">
        <v>991</v>
      </c>
      <c r="C895" s="169">
        <v>217023570</v>
      </c>
      <c r="D895" s="178" t="s">
        <v>1778</v>
      </c>
      <c r="E895" s="121">
        <v>50471</v>
      </c>
      <c r="F895" s="120">
        <v>0</v>
      </c>
    </row>
    <row r="896" spans="1:6" ht="12">
      <c r="A896" s="190">
        <v>240314</v>
      </c>
      <c r="B896" s="171" t="s">
        <v>991</v>
      </c>
      <c r="C896" s="169">
        <v>217423574</v>
      </c>
      <c r="D896" s="178" t="s">
        <v>1779</v>
      </c>
      <c r="E896" s="121">
        <v>42914</v>
      </c>
      <c r="F896" s="120">
        <v>0</v>
      </c>
    </row>
    <row r="897" spans="1:6" ht="12">
      <c r="A897" s="190">
        <v>240314</v>
      </c>
      <c r="B897" s="171" t="s">
        <v>991</v>
      </c>
      <c r="C897" s="169">
        <v>218023580</v>
      </c>
      <c r="D897" s="178" t="s">
        <v>1780</v>
      </c>
      <c r="E897" s="121">
        <v>63133</v>
      </c>
      <c r="F897" s="120">
        <v>0</v>
      </c>
    </row>
    <row r="898" spans="1:6" ht="12">
      <c r="A898" s="190">
        <v>240314</v>
      </c>
      <c r="B898" s="171" t="s">
        <v>991</v>
      </c>
      <c r="C898" s="169">
        <v>218623586</v>
      </c>
      <c r="D898" s="178" t="s">
        <v>1781</v>
      </c>
      <c r="E898" s="121">
        <v>28070</v>
      </c>
      <c r="F898" s="120">
        <v>0</v>
      </c>
    </row>
    <row r="899" spans="1:6" ht="12">
      <c r="A899" s="190">
        <v>240314</v>
      </c>
      <c r="B899" s="171" t="s">
        <v>991</v>
      </c>
      <c r="C899" s="169" t="s">
        <v>1782</v>
      </c>
      <c r="D899" s="178" t="s">
        <v>1783</v>
      </c>
      <c r="E899" s="121">
        <v>120773</v>
      </c>
      <c r="F899" s="120">
        <v>0</v>
      </c>
    </row>
    <row r="900" spans="1:6" ht="12">
      <c r="A900" s="190">
        <v>240314</v>
      </c>
      <c r="B900" s="171" t="s">
        <v>991</v>
      </c>
      <c r="C900" s="169" t="s">
        <v>1784</v>
      </c>
      <c r="D900" s="178" t="s">
        <v>1785</v>
      </c>
      <c r="E900" s="121">
        <v>60971</v>
      </c>
      <c r="F900" s="120">
        <v>0</v>
      </c>
    </row>
    <row r="901" spans="1:6" ht="12">
      <c r="A901" s="190">
        <v>240314</v>
      </c>
      <c r="B901" s="171" t="s">
        <v>991</v>
      </c>
      <c r="C901" s="169" t="s">
        <v>1786</v>
      </c>
      <c r="D901" s="178" t="s">
        <v>1787</v>
      </c>
      <c r="E901" s="121">
        <v>57528</v>
      </c>
      <c r="F901" s="120">
        <v>0</v>
      </c>
    </row>
    <row r="902" spans="1:6" ht="12">
      <c r="A902" s="190">
        <v>240314</v>
      </c>
      <c r="B902" s="171" t="s">
        <v>991</v>
      </c>
      <c r="C902" s="169" t="s">
        <v>1788</v>
      </c>
      <c r="D902" s="178" t="s">
        <v>1247</v>
      </c>
      <c r="E902" s="121">
        <v>42688</v>
      </c>
      <c r="F902" s="120">
        <v>0</v>
      </c>
    </row>
    <row r="903" spans="1:6" ht="12">
      <c r="A903" s="190">
        <v>240314</v>
      </c>
      <c r="B903" s="171" t="s">
        <v>991</v>
      </c>
      <c r="C903" s="169" t="s">
        <v>1789</v>
      </c>
      <c r="D903" s="178" t="s">
        <v>1790</v>
      </c>
      <c r="E903" s="121">
        <v>65039</v>
      </c>
      <c r="F903" s="120">
        <v>0</v>
      </c>
    </row>
    <row r="904" spans="1:6" ht="12">
      <c r="A904" s="190">
        <v>240314</v>
      </c>
      <c r="B904" s="171" t="s">
        <v>991</v>
      </c>
      <c r="C904" s="169" t="s">
        <v>1791</v>
      </c>
      <c r="D904" s="178" t="s">
        <v>1792</v>
      </c>
      <c r="E904" s="121">
        <v>144713</v>
      </c>
      <c r="F904" s="120">
        <v>0</v>
      </c>
    </row>
    <row r="905" spans="1:6" ht="12">
      <c r="A905" s="190">
        <v>240314</v>
      </c>
      <c r="B905" s="171" t="s">
        <v>991</v>
      </c>
      <c r="C905" s="169" t="s">
        <v>1793</v>
      </c>
      <c r="D905" s="178" t="s">
        <v>1794</v>
      </c>
      <c r="E905" s="121">
        <v>66097</v>
      </c>
      <c r="F905" s="120">
        <v>0</v>
      </c>
    </row>
    <row r="906" spans="1:6" ht="12">
      <c r="A906" s="190">
        <v>240314</v>
      </c>
      <c r="B906" s="171" t="s">
        <v>991</v>
      </c>
      <c r="C906" s="169" t="s">
        <v>1795</v>
      </c>
      <c r="D906" s="178" t="s">
        <v>1796</v>
      </c>
      <c r="E906" s="121">
        <v>13119</v>
      </c>
      <c r="F906" s="120">
        <v>0</v>
      </c>
    </row>
    <row r="907" spans="1:6" ht="12">
      <c r="A907" s="190">
        <v>240314</v>
      </c>
      <c r="B907" s="171" t="s">
        <v>991</v>
      </c>
      <c r="C907" s="169" t="s">
        <v>1797</v>
      </c>
      <c r="D907" s="178" t="s">
        <v>1798</v>
      </c>
      <c r="E907" s="121">
        <v>8391</v>
      </c>
      <c r="F907" s="120">
        <v>0</v>
      </c>
    </row>
    <row r="908" spans="1:6" ht="12">
      <c r="A908" s="190">
        <v>240314</v>
      </c>
      <c r="B908" s="171" t="s">
        <v>991</v>
      </c>
      <c r="C908" s="169" t="s">
        <v>1799</v>
      </c>
      <c r="D908" s="178" t="s">
        <v>1800</v>
      </c>
      <c r="E908" s="121">
        <v>11667</v>
      </c>
      <c r="F908" s="120">
        <v>0</v>
      </c>
    </row>
    <row r="909" spans="1:6" ht="12">
      <c r="A909" s="190">
        <v>240314</v>
      </c>
      <c r="B909" s="171" t="s">
        <v>991</v>
      </c>
      <c r="C909" s="169" t="s">
        <v>1801</v>
      </c>
      <c r="D909" s="178" t="s">
        <v>1802</v>
      </c>
      <c r="E909" s="121">
        <v>19150</v>
      </c>
      <c r="F909" s="120">
        <v>0</v>
      </c>
    </row>
    <row r="910" spans="1:6" ht="12">
      <c r="A910" s="190">
        <v>240314</v>
      </c>
      <c r="B910" s="171" t="s">
        <v>991</v>
      </c>
      <c r="C910" s="169" t="s">
        <v>1803</v>
      </c>
      <c r="D910" s="178" t="s">
        <v>1804</v>
      </c>
      <c r="E910" s="121">
        <v>14856</v>
      </c>
      <c r="F910" s="120">
        <v>0</v>
      </c>
    </row>
    <row r="911" spans="1:6" ht="12">
      <c r="A911" s="190">
        <v>240314</v>
      </c>
      <c r="B911" s="171" t="s">
        <v>991</v>
      </c>
      <c r="C911" s="169" t="s">
        <v>1805</v>
      </c>
      <c r="D911" s="178" t="s">
        <v>1806</v>
      </c>
      <c r="E911" s="121">
        <v>3265</v>
      </c>
      <c r="F911" s="120">
        <v>0</v>
      </c>
    </row>
    <row r="912" spans="1:6" ht="12">
      <c r="A912" s="190">
        <v>240314</v>
      </c>
      <c r="B912" s="171" t="s">
        <v>991</v>
      </c>
      <c r="C912" s="169" t="s">
        <v>1807</v>
      </c>
      <c r="D912" s="178" t="s">
        <v>1808</v>
      </c>
      <c r="E912" s="121">
        <v>3124</v>
      </c>
      <c r="F912" s="120">
        <v>0</v>
      </c>
    </row>
    <row r="913" spans="1:6" ht="12">
      <c r="A913" s="190">
        <v>240314</v>
      </c>
      <c r="B913" s="171" t="s">
        <v>991</v>
      </c>
      <c r="C913" s="169" t="s">
        <v>1809</v>
      </c>
      <c r="D913" s="178" t="s">
        <v>1810</v>
      </c>
      <c r="E913" s="121">
        <v>9148</v>
      </c>
      <c r="F913" s="120">
        <v>0</v>
      </c>
    </row>
    <row r="914" spans="1:6" ht="12">
      <c r="A914" s="190">
        <v>240314</v>
      </c>
      <c r="B914" s="171" t="s">
        <v>991</v>
      </c>
      <c r="C914" s="169" t="s">
        <v>1811</v>
      </c>
      <c r="D914" s="178" t="s">
        <v>1812</v>
      </c>
      <c r="E914" s="121">
        <v>6313</v>
      </c>
      <c r="F914" s="120">
        <v>0</v>
      </c>
    </row>
    <row r="915" spans="1:6" ht="12">
      <c r="A915" s="190">
        <v>240314</v>
      </c>
      <c r="B915" s="171" t="s">
        <v>991</v>
      </c>
      <c r="C915" s="169" t="s">
        <v>1813</v>
      </c>
      <c r="D915" s="178" t="s">
        <v>1814</v>
      </c>
      <c r="E915" s="121">
        <v>8190</v>
      </c>
      <c r="F915" s="120">
        <v>0</v>
      </c>
    </row>
    <row r="916" spans="1:6" ht="12">
      <c r="A916" s="190">
        <v>240314</v>
      </c>
      <c r="B916" s="171" t="s">
        <v>991</v>
      </c>
      <c r="C916" s="169" t="s">
        <v>1815</v>
      </c>
      <c r="D916" s="178" t="s">
        <v>1816</v>
      </c>
      <c r="E916" s="121">
        <v>46073</v>
      </c>
      <c r="F916" s="120">
        <v>0</v>
      </c>
    </row>
    <row r="917" spans="1:6" ht="12">
      <c r="A917" s="190">
        <v>240314</v>
      </c>
      <c r="B917" s="171" t="s">
        <v>991</v>
      </c>
      <c r="C917" s="169" t="s">
        <v>1817</v>
      </c>
      <c r="D917" s="178" t="s">
        <v>1818</v>
      </c>
      <c r="E917" s="121">
        <v>17792</v>
      </c>
      <c r="F917" s="120">
        <v>0</v>
      </c>
    </row>
    <row r="918" spans="1:6" ht="12">
      <c r="A918" s="190">
        <v>240314</v>
      </c>
      <c r="B918" s="171" t="s">
        <v>991</v>
      </c>
      <c r="C918" s="169" t="s">
        <v>1819</v>
      </c>
      <c r="D918" s="178" t="s">
        <v>1820</v>
      </c>
      <c r="E918" s="121">
        <v>19947</v>
      </c>
      <c r="F918" s="120">
        <v>0</v>
      </c>
    </row>
    <row r="919" spans="1:6" ht="12">
      <c r="A919" s="190">
        <v>240314</v>
      </c>
      <c r="B919" s="171" t="s">
        <v>991</v>
      </c>
      <c r="C919" s="169" t="s">
        <v>1821</v>
      </c>
      <c r="D919" s="178" t="s">
        <v>1822</v>
      </c>
      <c r="E919" s="121">
        <v>7918</v>
      </c>
      <c r="F919" s="120">
        <v>0</v>
      </c>
    </row>
    <row r="920" spans="1:6" ht="12">
      <c r="A920" s="190">
        <v>240314</v>
      </c>
      <c r="B920" s="171" t="s">
        <v>991</v>
      </c>
      <c r="C920" s="169" t="s">
        <v>1823</v>
      </c>
      <c r="D920" s="178" t="s">
        <v>1824</v>
      </c>
      <c r="E920" s="121">
        <v>4552</v>
      </c>
      <c r="F920" s="120">
        <v>0</v>
      </c>
    </row>
    <row r="921" spans="1:6" ht="12">
      <c r="A921" s="190">
        <v>240314</v>
      </c>
      <c r="B921" s="171" t="s">
        <v>991</v>
      </c>
      <c r="C921" s="169" t="s">
        <v>1825</v>
      </c>
      <c r="D921" s="178" t="s">
        <v>1826</v>
      </c>
      <c r="E921" s="121">
        <v>76169</v>
      </c>
      <c r="F921" s="120">
        <v>0</v>
      </c>
    </row>
    <row r="922" spans="1:6" ht="12">
      <c r="A922" s="190">
        <v>240314</v>
      </c>
      <c r="B922" s="171" t="s">
        <v>991</v>
      </c>
      <c r="C922" s="169" t="s">
        <v>1827</v>
      </c>
      <c r="D922" s="178" t="s">
        <v>1828</v>
      </c>
      <c r="E922" s="121">
        <v>9674</v>
      </c>
      <c r="F922" s="120">
        <v>0</v>
      </c>
    </row>
    <row r="923" spans="1:6" ht="12">
      <c r="A923" s="190">
        <v>240314</v>
      </c>
      <c r="B923" s="171" t="s">
        <v>991</v>
      </c>
      <c r="C923" s="169" t="s">
        <v>1829</v>
      </c>
      <c r="D923" s="178" t="s">
        <v>1830</v>
      </c>
      <c r="E923" s="121">
        <v>14018</v>
      </c>
      <c r="F923" s="120">
        <v>0</v>
      </c>
    </row>
    <row r="924" spans="1:6" ht="12">
      <c r="A924" s="190">
        <v>240314</v>
      </c>
      <c r="B924" s="171" t="s">
        <v>991</v>
      </c>
      <c r="C924" s="169" t="s">
        <v>1831</v>
      </c>
      <c r="D924" s="178" t="s">
        <v>1832</v>
      </c>
      <c r="E924" s="121">
        <v>23484</v>
      </c>
      <c r="F924" s="120">
        <v>0</v>
      </c>
    </row>
    <row r="925" spans="1:6" ht="12">
      <c r="A925" s="190">
        <v>240314</v>
      </c>
      <c r="B925" s="171" t="s">
        <v>991</v>
      </c>
      <c r="C925" s="169" t="s">
        <v>1833</v>
      </c>
      <c r="D925" s="178" t="s">
        <v>1834</v>
      </c>
      <c r="E925" s="121">
        <v>18251</v>
      </c>
      <c r="F925" s="120">
        <v>0</v>
      </c>
    </row>
    <row r="926" spans="1:6" ht="12">
      <c r="A926" s="190">
        <v>240314</v>
      </c>
      <c r="B926" s="171" t="s">
        <v>991</v>
      </c>
      <c r="C926" s="169" t="s">
        <v>1835</v>
      </c>
      <c r="D926" s="178" t="s">
        <v>1836</v>
      </c>
      <c r="E926" s="121">
        <v>16540</v>
      </c>
      <c r="F926" s="120">
        <v>0</v>
      </c>
    </row>
    <row r="927" spans="1:6" ht="12">
      <c r="A927" s="190">
        <v>240314</v>
      </c>
      <c r="B927" s="171" t="s">
        <v>991</v>
      </c>
      <c r="C927" s="169" t="s">
        <v>1837</v>
      </c>
      <c r="D927" s="178" t="s">
        <v>1838</v>
      </c>
      <c r="E927" s="121">
        <v>8250</v>
      </c>
      <c r="F927" s="120">
        <v>0</v>
      </c>
    </row>
    <row r="928" spans="1:6" ht="12">
      <c r="A928" s="190">
        <v>240314</v>
      </c>
      <c r="B928" s="171" t="s">
        <v>991</v>
      </c>
      <c r="C928" s="169" t="s">
        <v>1839</v>
      </c>
      <c r="D928" s="178" t="s">
        <v>1840</v>
      </c>
      <c r="E928" s="121">
        <v>26946</v>
      </c>
      <c r="F928" s="120">
        <v>0</v>
      </c>
    </row>
    <row r="929" spans="1:6" ht="12">
      <c r="A929" s="190">
        <v>240314</v>
      </c>
      <c r="B929" s="171" t="s">
        <v>991</v>
      </c>
      <c r="C929" s="169">
        <v>215825258</v>
      </c>
      <c r="D929" s="178" t="s">
        <v>1379</v>
      </c>
      <c r="E929" s="121">
        <v>7363</v>
      </c>
      <c r="F929" s="120">
        <v>0</v>
      </c>
    </row>
    <row r="930" spans="1:6" ht="12">
      <c r="A930" s="190">
        <v>240314</v>
      </c>
      <c r="B930" s="171" t="s">
        <v>991</v>
      </c>
      <c r="C930" s="169" t="s">
        <v>1841</v>
      </c>
      <c r="D930" s="178" t="s">
        <v>1842</v>
      </c>
      <c r="E930" s="121">
        <v>12544</v>
      </c>
      <c r="F930" s="120">
        <v>0</v>
      </c>
    </row>
    <row r="931" spans="1:6" ht="12">
      <c r="A931" s="190">
        <v>240314</v>
      </c>
      <c r="B931" s="171" t="s">
        <v>991</v>
      </c>
      <c r="C931" s="169" t="s">
        <v>1843</v>
      </c>
      <c r="D931" s="178" t="s">
        <v>1844</v>
      </c>
      <c r="E931" s="121">
        <v>107726</v>
      </c>
      <c r="F931" s="120">
        <v>0</v>
      </c>
    </row>
    <row r="932" spans="1:6" ht="12">
      <c r="A932" s="190">
        <v>240314</v>
      </c>
      <c r="B932" s="171" t="s">
        <v>991</v>
      </c>
      <c r="C932" s="169" t="s">
        <v>1845</v>
      </c>
      <c r="D932" s="178" t="s">
        <v>1846</v>
      </c>
      <c r="E932" s="121">
        <v>12459</v>
      </c>
      <c r="F932" s="120">
        <v>0</v>
      </c>
    </row>
    <row r="933" spans="1:6" ht="12">
      <c r="A933" s="190">
        <v>240314</v>
      </c>
      <c r="B933" s="171" t="s">
        <v>991</v>
      </c>
      <c r="C933" s="169">
        <v>218125281</v>
      </c>
      <c r="D933" s="178" t="s">
        <v>1847</v>
      </c>
      <c r="E933" s="121">
        <v>7348</v>
      </c>
      <c r="F933" s="120">
        <v>0</v>
      </c>
    </row>
    <row r="934" spans="1:6" ht="12">
      <c r="A934" s="190">
        <v>240314</v>
      </c>
      <c r="B934" s="171" t="s">
        <v>991</v>
      </c>
      <c r="C934" s="169" t="s">
        <v>1848</v>
      </c>
      <c r="D934" s="178" t="s">
        <v>1849</v>
      </c>
      <c r="E934" s="121">
        <v>47416</v>
      </c>
      <c r="F934" s="120">
        <v>0</v>
      </c>
    </row>
    <row r="935" spans="1:6" ht="12">
      <c r="A935" s="190">
        <v>240314</v>
      </c>
      <c r="B935" s="171" t="s">
        <v>991</v>
      </c>
      <c r="C935" s="169" t="s">
        <v>1850</v>
      </c>
      <c r="D935" s="178" t="s">
        <v>1851</v>
      </c>
      <c r="E935" s="121">
        <v>7513</v>
      </c>
      <c r="F935" s="120">
        <v>0</v>
      </c>
    </row>
    <row r="936" spans="1:6" ht="12">
      <c r="A936" s="190">
        <v>240314</v>
      </c>
      <c r="B936" s="171" t="s">
        <v>991</v>
      </c>
      <c r="C936" s="169" t="s">
        <v>1852</v>
      </c>
      <c r="D936" s="178" t="s">
        <v>1853</v>
      </c>
      <c r="E936" s="121">
        <v>7630</v>
      </c>
      <c r="F936" s="120">
        <v>0</v>
      </c>
    </row>
    <row r="937" spans="1:6" ht="12">
      <c r="A937" s="190">
        <v>240314</v>
      </c>
      <c r="B937" s="171" t="s">
        <v>991</v>
      </c>
      <c r="C937" s="169">
        <v>219525295</v>
      </c>
      <c r="D937" s="178" t="s">
        <v>1854</v>
      </c>
      <c r="E937" s="121">
        <v>11429</v>
      </c>
      <c r="F937" s="120">
        <v>0</v>
      </c>
    </row>
    <row r="938" spans="1:6" ht="12">
      <c r="A938" s="190">
        <v>240314</v>
      </c>
      <c r="B938" s="171" t="s">
        <v>991</v>
      </c>
      <c r="C938" s="169" t="s">
        <v>1855</v>
      </c>
      <c r="D938" s="178" t="s">
        <v>1856</v>
      </c>
      <c r="E938" s="121">
        <v>13620</v>
      </c>
      <c r="F938" s="120">
        <v>0</v>
      </c>
    </row>
    <row r="939" spans="1:6" ht="12">
      <c r="A939" s="190">
        <v>240314</v>
      </c>
      <c r="B939" s="171" t="s">
        <v>991</v>
      </c>
      <c r="C939" s="169" t="s">
        <v>1857</v>
      </c>
      <c r="D939" s="178" t="s">
        <v>1858</v>
      </c>
      <c r="E939" s="121">
        <v>3870</v>
      </c>
      <c r="F939" s="120">
        <v>0</v>
      </c>
    </row>
    <row r="940" spans="1:6" ht="12">
      <c r="A940" s="190">
        <v>240314</v>
      </c>
      <c r="B940" s="171" t="s">
        <v>991</v>
      </c>
      <c r="C940" s="169" t="s">
        <v>1859</v>
      </c>
      <c r="D940" s="178" t="s">
        <v>1179</v>
      </c>
      <c r="E940" s="121">
        <v>7958</v>
      </c>
      <c r="F940" s="120">
        <v>0</v>
      </c>
    </row>
    <row r="941" spans="1:6" ht="12">
      <c r="A941" s="190">
        <v>240314</v>
      </c>
      <c r="B941" s="171" t="s">
        <v>991</v>
      </c>
      <c r="C941" s="169" t="s">
        <v>1860</v>
      </c>
      <c r="D941" s="178" t="s">
        <v>1861</v>
      </c>
      <c r="E941" s="121">
        <v>14563</v>
      </c>
      <c r="F941" s="120">
        <v>0</v>
      </c>
    </row>
    <row r="942" spans="1:6" ht="12">
      <c r="A942" s="190">
        <v>240314</v>
      </c>
      <c r="B942" s="171" t="s">
        <v>991</v>
      </c>
      <c r="C942" s="169" t="s">
        <v>1862</v>
      </c>
      <c r="D942" s="178" t="s">
        <v>1863</v>
      </c>
      <c r="E942" s="121">
        <v>29075</v>
      </c>
      <c r="F942" s="120">
        <v>0</v>
      </c>
    </row>
    <row r="943" spans="1:6" ht="12">
      <c r="A943" s="190">
        <v>240314</v>
      </c>
      <c r="B943" s="171" t="s">
        <v>991</v>
      </c>
      <c r="C943" s="169" t="s">
        <v>1864</v>
      </c>
      <c r="D943" s="178" t="s">
        <v>1865</v>
      </c>
      <c r="E943" s="121">
        <v>19553</v>
      </c>
      <c r="F943" s="120">
        <v>0</v>
      </c>
    </row>
    <row r="944" spans="1:6" ht="12">
      <c r="A944" s="190">
        <v>240314</v>
      </c>
      <c r="B944" s="171" t="s">
        <v>991</v>
      </c>
      <c r="C944" s="169" t="s">
        <v>1866</v>
      </c>
      <c r="D944" s="178" t="s">
        <v>1867</v>
      </c>
      <c r="E944" s="121">
        <v>4214</v>
      </c>
      <c r="F944" s="120">
        <v>0</v>
      </c>
    </row>
    <row r="945" spans="1:6" ht="12">
      <c r="A945" s="190">
        <v>240314</v>
      </c>
      <c r="B945" s="171" t="s">
        <v>991</v>
      </c>
      <c r="C945" s="169" t="s">
        <v>1868</v>
      </c>
      <c r="D945" s="178" t="s">
        <v>1869</v>
      </c>
      <c r="E945" s="121">
        <v>6323</v>
      </c>
      <c r="F945" s="120">
        <v>0</v>
      </c>
    </row>
    <row r="946" spans="1:6" ht="12">
      <c r="A946" s="190">
        <v>240314</v>
      </c>
      <c r="B946" s="171" t="s">
        <v>991</v>
      </c>
      <c r="C946" s="169">
        <v>212825328</v>
      </c>
      <c r="D946" s="178" t="s">
        <v>1870</v>
      </c>
      <c r="E946" s="121">
        <v>4779</v>
      </c>
      <c r="F946" s="120">
        <v>0</v>
      </c>
    </row>
    <row r="947" spans="1:6" ht="12">
      <c r="A947" s="190">
        <v>240314</v>
      </c>
      <c r="B947" s="171" t="s">
        <v>991</v>
      </c>
      <c r="C947" s="169" t="s">
        <v>1871</v>
      </c>
      <c r="D947" s="178" t="s">
        <v>1872</v>
      </c>
      <c r="E947" s="121">
        <v>7014</v>
      </c>
      <c r="F947" s="120">
        <v>0</v>
      </c>
    </row>
    <row r="948" spans="1:6" ht="12">
      <c r="A948" s="190">
        <v>240314</v>
      </c>
      <c r="B948" s="171" t="s">
        <v>991</v>
      </c>
      <c r="C948" s="170" t="s">
        <v>1873</v>
      </c>
      <c r="D948" s="178" t="s">
        <v>1874</v>
      </c>
      <c r="E948" s="121">
        <v>5498</v>
      </c>
      <c r="F948" s="120">
        <v>0</v>
      </c>
    </row>
    <row r="949" spans="1:6" ht="12">
      <c r="A949" s="190">
        <v>240314</v>
      </c>
      <c r="B949" s="171" t="s">
        <v>991</v>
      </c>
      <c r="C949" s="169" t="s">
        <v>1875</v>
      </c>
      <c r="D949" s="178" t="s">
        <v>1876</v>
      </c>
      <c r="E949" s="121">
        <v>3848</v>
      </c>
      <c r="F949" s="120">
        <v>0</v>
      </c>
    </row>
    <row r="950" spans="1:6" ht="12">
      <c r="A950" s="190">
        <v>240314</v>
      </c>
      <c r="B950" s="171" t="s">
        <v>991</v>
      </c>
      <c r="C950" s="170" t="s">
        <v>1877</v>
      </c>
      <c r="D950" s="178" t="s">
        <v>1878</v>
      </c>
      <c r="E950" s="121">
        <v>10072</v>
      </c>
      <c r="F950" s="120">
        <v>0</v>
      </c>
    </row>
    <row r="951" spans="1:6" ht="12">
      <c r="A951" s="190">
        <v>240314</v>
      </c>
      <c r="B951" s="171" t="s">
        <v>991</v>
      </c>
      <c r="C951" s="170" t="s">
        <v>1879</v>
      </c>
      <c r="D951" s="178" t="s">
        <v>1880</v>
      </c>
      <c r="E951" s="121">
        <v>19552</v>
      </c>
      <c r="F951" s="120">
        <v>0</v>
      </c>
    </row>
    <row r="952" spans="1:6" ht="12">
      <c r="A952" s="190">
        <v>240314</v>
      </c>
      <c r="B952" s="171" t="s">
        <v>991</v>
      </c>
      <c r="C952" s="170" t="s">
        <v>1881</v>
      </c>
      <c r="D952" s="178" t="s">
        <v>1882</v>
      </c>
      <c r="E952" s="121">
        <v>29439</v>
      </c>
      <c r="F952" s="120">
        <v>0</v>
      </c>
    </row>
    <row r="953" spans="1:6" ht="12">
      <c r="A953" s="190">
        <v>240314</v>
      </c>
      <c r="B953" s="171" t="s">
        <v>991</v>
      </c>
      <c r="C953" s="170" t="s">
        <v>1883</v>
      </c>
      <c r="D953" s="178" t="s">
        <v>1884</v>
      </c>
      <c r="E953" s="121">
        <v>12673</v>
      </c>
      <c r="F953" s="120">
        <v>0</v>
      </c>
    </row>
    <row r="954" spans="1:6" ht="12">
      <c r="A954" s="190">
        <v>240314</v>
      </c>
      <c r="B954" s="171" t="s">
        <v>991</v>
      </c>
      <c r="C954" s="170" t="s">
        <v>1885</v>
      </c>
      <c r="D954" s="178" t="s">
        <v>1886</v>
      </c>
      <c r="E954" s="121">
        <v>8160</v>
      </c>
      <c r="F954" s="120">
        <v>0</v>
      </c>
    </row>
    <row r="955" spans="1:6" ht="12">
      <c r="A955" s="190">
        <v>240314</v>
      </c>
      <c r="B955" s="171" t="s">
        <v>991</v>
      </c>
      <c r="C955" s="170" t="s">
        <v>1887</v>
      </c>
      <c r="D955" s="178" t="s">
        <v>1685</v>
      </c>
      <c r="E955" s="121">
        <v>18529</v>
      </c>
      <c r="F955" s="120">
        <v>0</v>
      </c>
    </row>
    <row r="956" spans="1:6" ht="12">
      <c r="A956" s="190">
        <v>240314</v>
      </c>
      <c r="B956" s="171" t="s">
        <v>991</v>
      </c>
      <c r="C956" s="170" t="s">
        <v>1888</v>
      </c>
      <c r="D956" s="178" t="s">
        <v>1889</v>
      </c>
      <c r="E956" s="121">
        <v>10506</v>
      </c>
      <c r="F956" s="120">
        <v>0</v>
      </c>
    </row>
    <row r="957" spans="1:6" ht="12">
      <c r="A957" s="190">
        <v>240314</v>
      </c>
      <c r="B957" s="171" t="s">
        <v>991</v>
      </c>
      <c r="C957" s="170" t="s">
        <v>1890</v>
      </c>
      <c r="D957" s="178" t="s">
        <v>1891</v>
      </c>
      <c r="E957" s="121">
        <v>8483</v>
      </c>
      <c r="F957" s="120">
        <v>0</v>
      </c>
    </row>
    <row r="958" spans="1:6" ht="12">
      <c r="A958" s="190">
        <v>240314</v>
      </c>
      <c r="B958" s="171" t="s">
        <v>991</v>
      </c>
      <c r="C958" s="170" t="s">
        <v>1892</v>
      </c>
      <c r="D958" s="178" t="s">
        <v>1893</v>
      </c>
      <c r="E958" s="121">
        <v>54228</v>
      </c>
      <c r="F958" s="120">
        <v>0</v>
      </c>
    </row>
    <row r="959" spans="1:6" ht="12">
      <c r="A959" s="190">
        <v>240314</v>
      </c>
      <c r="B959" s="171" t="s">
        <v>991</v>
      </c>
      <c r="C959" s="170" t="s">
        <v>1894</v>
      </c>
      <c r="D959" s="178" t="s">
        <v>1895</v>
      </c>
      <c r="E959" s="121">
        <v>4915</v>
      </c>
      <c r="F959" s="120">
        <v>0</v>
      </c>
    </row>
    <row r="960" spans="1:6" ht="12">
      <c r="A960" s="190">
        <v>240314</v>
      </c>
      <c r="B960" s="171" t="s">
        <v>991</v>
      </c>
      <c r="C960" s="170" t="s">
        <v>1896</v>
      </c>
      <c r="D960" s="178" t="s">
        <v>1897</v>
      </c>
      <c r="E960" s="121">
        <v>11979</v>
      </c>
      <c r="F960" s="120">
        <v>0</v>
      </c>
    </row>
    <row r="961" spans="1:6" ht="12">
      <c r="A961" s="190">
        <v>240314</v>
      </c>
      <c r="B961" s="171" t="s">
        <v>991</v>
      </c>
      <c r="C961" s="170" t="s">
        <v>1898</v>
      </c>
      <c r="D961" s="178" t="s">
        <v>1899</v>
      </c>
      <c r="E961" s="121">
        <v>53353</v>
      </c>
      <c r="F961" s="120">
        <v>0</v>
      </c>
    </row>
    <row r="962" spans="1:6" ht="12">
      <c r="A962" s="190">
        <v>240314</v>
      </c>
      <c r="B962" s="171" t="s">
        <v>991</v>
      </c>
      <c r="C962" s="170">
        <v>218325483</v>
      </c>
      <c r="D962" s="178" t="s">
        <v>1006</v>
      </c>
      <c r="E962" s="121">
        <v>3250</v>
      </c>
      <c r="F962" s="120">
        <v>0</v>
      </c>
    </row>
    <row r="963" spans="1:6" ht="12">
      <c r="A963" s="190">
        <v>240314</v>
      </c>
      <c r="B963" s="171" t="s">
        <v>991</v>
      </c>
      <c r="C963" s="170" t="s">
        <v>1900</v>
      </c>
      <c r="D963" s="178" t="s">
        <v>1901</v>
      </c>
      <c r="E963" s="121">
        <v>14366</v>
      </c>
      <c r="F963" s="120">
        <v>0</v>
      </c>
    </row>
    <row r="964" spans="1:6" ht="12">
      <c r="A964" s="190">
        <v>240314</v>
      </c>
      <c r="B964" s="171" t="s">
        <v>991</v>
      </c>
      <c r="C964" s="170" t="s">
        <v>1902</v>
      </c>
      <c r="D964" s="178" t="s">
        <v>1903</v>
      </c>
      <c r="E964" s="121">
        <v>7261</v>
      </c>
      <c r="F964" s="120">
        <v>0</v>
      </c>
    </row>
    <row r="965" spans="1:6" ht="12">
      <c r="A965" s="190">
        <v>240314</v>
      </c>
      <c r="B965" s="171" t="s">
        <v>991</v>
      </c>
      <c r="C965" s="170" t="s">
        <v>1904</v>
      </c>
      <c r="D965" s="178" t="s">
        <v>1905</v>
      </c>
      <c r="E965" s="121">
        <v>4658</v>
      </c>
      <c r="F965" s="120">
        <v>0</v>
      </c>
    </row>
    <row r="966" spans="1:6" ht="12">
      <c r="A966" s="190">
        <v>240314</v>
      </c>
      <c r="B966" s="171" t="s">
        <v>991</v>
      </c>
      <c r="C966" s="170" t="s">
        <v>1906</v>
      </c>
      <c r="D966" s="178" t="s">
        <v>1907</v>
      </c>
      <c r="E966" s="121">
        <v>7678</v>
      </c>
      <c r="F966" s="120">
        <v>0</v>
      </c>
    </row>
    <row r="967" spans="1:6" ht="12">
      <c r="A967" s="190">
        <v>240314</v>
      </c>
      <c r="B967" s="171" t="s">
        <v>991</v>
      </c>
      <c r="C967" s="170">
        <v>210625506</v>
      </c>
      <c r="D967" s="178" t="s">
        <v>1908</v>
      </c>
      <c r="E967" s="121">
        <v>5056</v>
      </c>
      <c r="F967" s="120">
        <v>0</v>
      </c>
    </row>
    <row r="968" spans="1:6" ht="12">
      <c r="A968" s="190">
        <v>240314</v>
      </c>
      <c r="B968" s="171" t="s">
        <v>991</v>
      </c>
      <c r="C968" s="170" t="s">
        <v>1909</v>
      </c>
      <c r="D968" s="178" t="s">
        <v>1910</v>
      </c>
      <c r="E968" s="121">
        <v>33001</v>
      </c>
      <c r="F968" s="120">
        <v>0</v>
      </c>
    </row>
    <row r="969" spans="1:6" ht="12">
      <c r="A969" s="190">
        <v>240314</v>
      </c>
      <c r="B969" s="171" t="s">
        <v>991</v>
      </c>
      <c r="C969" s="170" t="s">
        <v>1911</v>
      </c>
      <c r="D969" s="178" t="s">
        <v>1912</v>
      </c>
      <c r="E969" s="121">
        <v>7967</v>
      </c>
      <c r="F969" s="120">
        <v>0</v>
      </c>
    </row>
    <row r="970" spans="1:6" ht="12">
      <c r="A970" s="190">
        <v>240314</v>
      </c>
      <c r="B970" s="171" t="s">
        <v>991</v>
      </c>
      <c r="C970" s="170" t="s">
        <v>1913</v>
      </c>
      <c r="D970" s="178" t="s">
        <v>1914</v>
      </c>
      <c r="E970" s="121">
        <v>6767</v>
      </c>
      <c r="F970" s="120">
        <v>0</v>
      </c>
    </row>
    <row r="971" spans="1:6" ht="12">
      <c r="A971" s="190">
        <v>240314</v>
      </c>
      <c r="B971" s="171" t="s">
        <v>991</v>
      </c>
      <c r="C971" s="170" t="s">
        <v>1915</v>
      </c>
      <c r="D971" s="178" t="s">
        <v>1916</v>
      </c>
      <c r="E971" s="121">
        <v>8593</v>
      </c>
      <c r="F971" s="120">
        <v>0</v>
      </c>
    </row>
    <row r="972" spans="1:6" ht="12">
      <c r="A972" s="190">
        <v>240314</v>
      </c>
      <c r="B972" s="171" t="s">
        <v>991</v>
      </c>
      <c r="C972" s="170" t="s">
        <v>1917</v>
      </c>
      <c r="D972" s="178" t="s">
        <v>1918</v>
      </c>
      <c r="E972" s="121">
        <v>16193</v>
      </c>
      <c r="F972" s="120">
        <v>0</v>
      </c>
    </row>
    <row r="973" spans="1:6" ht="12">
      <c r="A973" s="190">
        <v>240314</v>
      </c>
      <c r="B973" s="171" t="s">
        <v>991</v>
      </c>
      <c r="C973" s="170" t="s">
        <v>1919</v>
      </c>
      <c r="D973" s="178" t="s">
        <v>1920</v>
      </c>
      <c r="E973" s="121">
        <v>19100</v>
      </c>
      <c r="F973" s="120">
        <v>0</v>
      </c>
    </row>
    <row r="974" spans="1:6" ht="12">
      <c r="A974" s="190">
        <v>240314</v>
      </c>
      <c r="B974" s="171" t="s">
        <v>991</v>
      </c>
      <c r="C974" s="170" t="s">
        <v>1921</v>
      </c>
      <c r="D974" s="178" t="s">
        <v>1922</v>
      </c>
      <c r="E974" s="121">
        <v>4078</v>
      </c>
      <c r="F974" s="120">
        <v>0</v>
      </c>
    </row>
    <row r="975" spans="1:6" ht="12">
      <c r="A975" s="190">
        <v>240314</v>
      </c>
      <c r="B975" s="171" t="s">
        <v>991</v>
      </c>
      <c r="C975" s="170" t="s">
        <v>1923</v>
      </c>
      <c r="D975" s="178" t="s">
        <v>1924</v>
      </c>
      <c r="E975" s="121">
        <v>5289</v>
      </c>
      <c r="F975" s="120">
        <v>0</v>
      </c>
    </row>
    <row r="976" spans="1:6" ht="12">
      <c r="A976" s="190">
        <v>240314</v>
      </c>
      <c r="B976" s="171" t="s">
        <v>991</v>
      </c>
      <c r="C976" s="170" t="s">
        <v>1925</v>
      </c>
      <c r="D976" s="178" t="s">
        <v>1926</v>
      </c>
      <c r="E976" s="121">
        <v>6631</v>
      </c>
      <c r="F976" s="120">
        <v>0</v>
      </c>
    </row>
    <row r="977" spans="1:6" ht="12">
      <c r="A977" s="190">
        <v>240314</v>
      </c>
      <c r="B977" s="171" t="s">
        <v>991</v>
      </c>
      <c r="C977" s="170">
        <v>219625596</v>
      </c>
      <c r="D977" s="178" t="s">
        <v>1927</v>
      </c>
      <c r="E977" s="121">
        <v>11541</v>
      </c>
      <c r="F977" s="120">
        <v>0</v>
      </c>
    </row>
    <row r="978" spans="1:6" ht="12">
      <c r="A978" s="190">
        <v>240314</v>
      </c>
      <c r="B978" s="171" t="s">
        <v>991</v>
      </c>
      <c r="C978" s="169" t="s">
        <v>1928</v>
      </c>
      <c r="D978" s="178" t="s">
        <v>1929</v>
      </c>
      <c r="E978" s="121">
        <v>8801</v>
      </c>
      <c r="F978" s="120">
        <v>0</v>
      </c>
    </row>
    <row r="979" spans="1:6" ht="12">
      <c r="A979" s="190">
        <v>240314</v>
      </c>
      <c r="B979" s="171" t="s">
        <v>991</v>
      </c>
      <c r="C979" s="170" t="s">
        <v>1930</v>
      </c>
      <c r="D979" s="178" t="s">
        <v>1931</v>
      </c>
      <c r="E979" s="121">
        <v>9169</v>
      </c>
      <c r="F979" s="120">
        <v>0</v>
      </c>
    </row>
    <row r="980" spans="1:6" ht="12">
      <c r="A980" s="190">
        <v>240314</v>
      </c>
      <c r="B980" s="171" t="s">
        <v>991</v>
      </c>
      <c r="C980" s="170" t="s">
        <v>1932</v>
      </c>
      <c r="D980" s="178" t="s">
        <v>1933</v>
      </c>
      <c r="E980" s="121">
        <v>14119</v>
      </c>
      <c r="F980" s="120">
        <v>0</v>
      </c>
    </row>
    <row r="981" spans="1:6" ht="12">
      <c r="A981" s="190">
        <v>240314</v>
      </c>
      <c r="B981" s="171" t="s">
        <v>991</v>
      </c>
      <c r="C981" s="170" t="s">
        <v>1934</v>
      </c>
      <c r="D981" s="178" t="s">
        <v>1935</v>
      </c>
      <c r="E981" s="121">
        <v>13494</v>
      </c>
      <c r="F981" s="120">
        <v>0</v>
      </c>
    </row>
    <row r="982" spans="1:6" ht="12">
      <c r="A982" s="190">
        <v>240314</v>
      </c>
      <c r="B982" s="171" t="s">
        <v>991</v>
      </c>
      <c r="C982" s="170" t="s">
        <v>1936</v>
      </c>
      <c r="D982" s="178" t="s">
        <v>1937</v>
      </c>
      <c r="E982" s="121">
        <v>6394</v>
      </c>
      <c r="F982" s="120">
        <v>0</v>
      </c>
    </row>
    <row r="983" spans="1:6" ht="12">
      <c r="A983" s="190">
        <v>240314</v>
      </c>
      <c r="B983" s="171" t="s">
        <v>991</v>
      </c>
      <c r="C983" s="170" t="s">
        <v>1938</v>
      </c>
      <c r="D983" s="178" t="s">
        <v>1249</v>
      </c>
      <c r="E983" s="121">
        <v>9320</v>
      </c>
      <c r="F983" s="120">
        <v>0</v>
      </c>
    </row>
    <row r="984" spans="1:6" ht="12">
      <c r="A984" s="190">
        <v>240314</v>
      </c>
      <c r="B984" s="171" t="s">
        <v>991</v>
      </c>
      <c r="C984" s="170" t="s">
        <v>1939</v>
      </c>
      <c r="D984" s="178" t="s">
        <v>1940</v>
      </c>
      <c r="E984" s="121">
        <v>11914</v>
      </c>
      <c r="F984" s="120">
        <v>0</v>
      </c>
    </row>
    <row r="985" spans="1:6" ht="12">
      <c r="A985" s="190">
        <v>240314</v>
      </c>
      <c r="B985" s="171" t="s">
        <v>991</v>
      </c>
      <c r="C985" s="170" t="s">
        <v>1941</v>
      </c>
      <c r="D985" s="178" t="s">
        <v>1942</v>
      </c>
      <c r="E985" s="121">
        <v>14109</v>
      </c>
      <c r="F985" s="120">
        <v>0</v>
      </c>
    </row>
    <row r="986" spans="1:6" ht="12">
      <c r="A986" s="190">
        <v>240314</v>
      </c>
      <c r="B986" s="171" t="s">
        <v>991</v>
      </c>
      <c r="C986" s="170" t="s">
        <v>1943</v>
      </c>
      <c r="D986" s="178" t="s">
        <v>1944</v>
      </c>
      <c r="E986" s="121">
        <v>11494</v>
      </c>
      <c r="F986" s="120">
        <v>0</v>
      </c>
    </row>
    <row r="987" spans="1:6" ht="12">
      <c r="A987" s="190">
        <v>240314</v>
      </c>
      <c r="B987" s="171" t="s">
        <v>991</v>
      </c>
      <c r="C987" s="170" t="s">
        <v>1945</v>
      </c>
      <c r="D987" s="178" t="s">
        <v>1946</v>
      </c>
      <c r="E987" s="121">
        <v>30719</v>
      </c>
      <c r="F987" s="120">
        <v>0</v>
      </c>
    </row>
    <row r="988" spans="1:6" ht="12">
      <c r="A988" s="190">
        <v>240314</v>
      </c>
      <c r="B988" s="171" t="s">
        <v>991</v>
      </c>
      <c r="C988" s="170" t="s">
        <v>1947</v>
      </c>
      <c r="D988" s="178" t="s">
        <v>1948</v>
      </c>
      <c r="E988" s="121">
        <v>25190</v>
      </c>
      <c r="F988" s="120">
        <v>0</v>
      </c>
    </row>
    <row r="989" spans="1:6" ht="12">
      <c r="A989" s="190">
        <v>240314</v>
      </c>
      <c r="B989" s="171" t="s">
        <v>991</v>
      </c>
      <c r="C989" s="170" t="s">
        <v>1949</v>
      </c>
      <c r="D989" s="178" t="s">
        <v>1950</v>
      </c>
      <c r="E989" s="121">
        <v>14522</v>
      </c>
      <c r="F989" s="120">
        <v>0</v>
      </c>
    </row>
    <row r="990" spans="1:6" ht="12">
      <c r="A990" s="190">
        <v>240314</v>
      </c>
      <c r="B990" s="171" t="s">
        <v>991</v>
      </c>
      <c r="C990" s="170" t="s">
        <v>1951</v>
      </c>
      <c r="D990" s="178" t="s">
        <v>1952</v>
      </c>
      <c r="E990" s="121">
        <v>21025</v>
      </c>
      <c r="F990" s="120">
        <v>0</v>
      </c>
    </row>
    <row r="991" spans="1:6" ht="12">
      <c r="A991" s="190">
        <v>240314</v>
      </c>
      <c r="B991" s="171" t="s">
        <v>991</v>
      </c>
      <c r="C991" s="170" t="s">
        <v>1953</v>
      </c>
      <c r="D991" s="178" t="s">
        <v>1954</v>
      </c>
      <c r="E991" s="121">
        <v>14265</v>
      </c>
      <c r="F991" s="120">
        <v>0</v>
      </c>
    </row>
    <row r="992" spans="1:6" ht="12">
      <c r="A992" s="190">
        <v>240314</v>
      </c>
      <c r="B992" s="171" t="s">
        <v>991</v>
      </c>
      <c r="C992" s="170" t="s">
        <v>1955</v>
      </c>
      <c r="D992" s="178" t="s">
        <v>1956</v>
      </c>
      <c r="E992" s="121">
        <v>16697</v>
      </c>
      <c r="F992" s="120">
        <v>0</v>
      </c>
    </row>
    <row r="993" spans="1:6" ht="12">
      <c r="A993" s="190">
        <v>240314</v>
      </c>
      <c r="B993" s="171" t="s">
        <v>991</v>
      </c>
      <c r="C993" s="170" t="s">
        <v>1957</v>
      </c>
      <c r="D993" s="178" t="s">
        <v>1958</v>
      </c>
      <c r="E993" s="121">
        <v>6570</v>
      </c>
      <c r="F993" s="120">
        <v>0</v>
      </c>
    </row>
    <row r="994" spans="1:6" ht="12">
      <c r="A994" s="190">
        <v>240314</v>
      </c>
      <c r="B994" s="171" t="s">
        <v>991</v>
      </c>
      <c r="C994" s="170" t="s">
        <v>1959</v>
      </c>
      <c r="D994" s="178" t="s">
        <v>1960</v>
      </c>
      <c r="E994" s="121">
        <v>6999</v>
      </c>
      <c r="F994" s="120">
        <v>0</v>
      </c>
    </row>
    <row r="995" spans="1:6" ht="12">
      <c r="A995" s="190">
        <v>240314</v>
      </c>
      <c r="B995" s="171" t="s">
        <v>991</v>
      </c>
      <c r="C995" s="170" t="s">
        <v>1961</v>
      </c>
      <c r="D995" s="178" t="s">
        <v>1962</v>
      </c>
      <c r="E995" s="121">
        <v>5773</v>
      </c>
      <c r="F995" s="120">
        <v>0</v>
      </c>
    </row>
    <row r="996" spans="1:6" ht="12">
      <c r="A996" s="190">
        <v>240314</v>
      </c>
      <c r="B996" s="171" t="s">
        <v>991</v>
      </c>
      <c r="C996" s="170" t="s">
        <v>1963</v>
      </c>
      <c r="D996" s="178" t="s">
        <v>1964</v>
      </c>
      <c r="E996" s="121">
        <v>18281</v>
      </c>
      <c r="F996" s="120">
        <v>0</v>
      </c>
    </row>
    <row r="997" spans="1:6" ht="12">
      <c r="A997" s="190">
        <v>240314</v>
      </c>
      <c r="B997" s="171" t="s">
        <v>991</v>
      </c>
      <c r="C997" s="170" t="s">
        <v>1965</v>
      </c>
      <c r="D997" s="178" t="s">
        <v>1966</v>
      </c>
      <c r="E997" s="121">
        <v>9401</v>
      </c>
      <c r="F997" s="120">
        <v>0</v>
      </c>
    </row>
    <row r="998" spans="1:6" ht="12">
      <c r="A998" s="190">
        <v>240314</v>
      </c>
      <c r="B998" s="171" t="s">
        <v>991</v>
      </c>
      <c r="C998" s="170" t="s">
        <v>1967</v>
      </c>
      <c r="D998" s="178" t="s">
        <v>1968</v>
      </c>
      <c r="E998" s="121">
        <v>10481</v>
      </c>
      <c r="F998" s="120">
        <v>0</v>
      </c>
    </row>
    <row r="999" spans="1:6" ht="12">
      <c r="A999" s="190">
        <v>240314</v>
      </c>
      <c r="B999" s="171" t="s">
        <v>991</v>
      </c>
      <c r="C999" s="170" t="s">
        <v>1969</v>
      </c>
      <c r="D999" s="178" t="s">
        <v>1970</v>
      </c>
      <c r="E999" s="121">
        <v>16025</v>
      </c>
      <c r="F999" s="120">
        <v>0</v>
      </c>
    </row>
    <row r="1000" spans="1:6" ht="12">
      <c r="A1000" s="190">
        <v>240314</v>
      </c>
      <c r="B1000" s="171" t="s">
        <v>991</v>
      </c>
      <c r="C1000" s="170" t="s">
        <v>1971</v>
      </c>
      <c r="D1000" s="178" t="s">
        <v>1972</v>
      </c>
      <c r="E1000" s="121">
        <v>5102</v>
      </c>
      <c r="F1000" s="120">
        <v>0</v>
      </c>
    </row>
    <row r="1001" spans="1:6" ht="12">
      <c r="A1001" s="190">
        <v>240314</v>
      </c>
      <c r="B1001" s="171" t="s">
        <v>991</v>
      </c>
      <c r="C1001" s="170" t="s">
        <v>1973</v>
      </c>
      <c r="D1001" s="178" t="s">
        <v>1974</v>
      </c>
      <c r="E1001" s="121">
        <v>3129</v>
      </c>
      <c r="F1001" s="120">
        <v>0</v>
      </c>
    </row>
    <row r="1002" spans="1:6" ht="12">
      <c r="A1002" s="190">
        <v>240314</v>
      </c>
      <c r="B1002" s="171" t="s">
        <v>991</v>
      </c>
      <c r="C1002" s="170" t="s">
        <v>1975</v>
      </c>
      <c r="D1002" s="178" t="s">
        <v>1976</v>
      </c>
      <c r="E1002" s="121">
        <v>17475</v>
      </c>
      <c r="F1002" s="120">
        <v>0</v>
      </c>
    </row>
    <row r="1003" spans="1:6" ht="12">
      <c r="A1003" s="190">
        <v>240314</v>
      </c>
      <c r="B1003" s="171" t="s">
        <v>991</v>
      </c>
      <c r="C1003" s="170" t="s">
        <v>1977</v>
      </c>
      <c r="D1003" s="178" t="s">
        <v>1978</v>
      </c>
      <c r="E1003" s="121">
        <v>30003</v>
      </c>
      <c r="F1003" s="120">
        <v>0</v>
      </c>
    </row>
    <row r="1004" spans="1:6" ht="12">
      <c r="A1004" s="190">
        <v>240314</v>
      </c>
      <c r="B1004" s="171" t="s">
        <v>991</v>
      </c>
      <c r="C1004" s="170" t="s">
        <v>1979</v>
      </c>
      <c r="D1004" s="178" t="s">
        <v>1980</v>
      </c>
      <c r="E1004" s="121">
        <v>6359</v>
      </c>
      <c r="F1004" s="120">
        <v>0</v>
      </c>
    </row>
    <row r="1005" spans="1:6" ht="12">
      <c r="A1005" s="190">
        <v>240314</v>
      </c>
      <c r="B1005" s="171" t="s">
        <v>991</v>
      </c>
      <c r="C1005" s="170" t="s">
        <v>1981</v>
      </c>
      <c r="D1005" s="178" t="s">
        <v>1982</v>
      </c>
      <c r="E1005" s="121">
        <v>14306</v>
      </c>
      <c r="F1005" s="120">
        <v>0</v>
      </c>
    </row>
    <row r="1006" spans="1:6" ht="12">
      <c r="A1006" s="190">
        <v>240314</v>
      </c>
      <c r="B1006" s="171" t="s">
        <v>991</v>
      </c>
      <c r="C1006" s="170" t="s">
        <v>1983</v>
      </c>
      <c r="D1006" s="178" t="s">
        <v>1984</v>
      </c>
      <c r="E1006" s="121">
        <v>7655</v>
      </c>
      <c r="F1006" s="120">
        <v>0</v>
      </c>
    </row>
    <row r="1007" spans="1:6" ht="12">
      <c r="A1007" s="190">
        <v>240314</v>
      </c>
      <c r="B1007" s="171" t="s">
        <v>991</v>
      </c>
      <c r="C1007" s="170" t="s">
        <v>1985</v>
      </c>
      <c r="D1007" s="178" t="s">
        <v>1986</v>
      </c>
      <c r="E1007" s="121">
        <v>37804</v>
      </c>
      <c r="F1007" s="120">
        <v>0</v>
      </c>
    </row>
    <row r="1008" spans="1:6" ht="12">
      <c r="A1008" s="190">
        <v>240314</v>
      </c>
      <c r="B1008" s="171" t="s">
        <v>991</v>
      </c>
      <c r="C1008" s="170" t="s">
        <v>1987</v>
      </c>
      <c r="D1008" s="178" t="s">
        <v>1988</v>
      </c>
      <c r="E1008" s="121">
        <v>8200</v>
      </c>
      <c r="F1008" s="120">
        <v>0</v>
      </c>
    </row>
    <row r="1009" spans="1:6" ht="12">
      <c r="A1009" s="190">
        <v>240314</v>
      </c>
      <c r="B1009" s="171" t="s">
        <v>991</v>
      </c>
      <c r="C1009" s="170" t="s">
        <v>1989</v>
      </c>
      <c r="D1009" s="178" t="s">
        <v>1990</v>
      </c>
      <c r="E1009" s="121">
        <v>5137</v>
      </c>
      <c r="F1009" s="120">
        <v>0</v>
      </c>
    </row>
    <row r="1010" spans="1:6" ht="12">
      <c r="A1010" s="190">
        <v>240314</v>
      </c>
      <c r="B1010" s="171" t="s">
        <v>991</v>
      </c>
      <c r="C1010" s="170" t="s">
        <v>1991</v>
      </c>
      <c r="D1010" s="178" t="s">
        <v>1992</v>
      </c>
      <c r="E1010" s="121">
        <v>9194</v>
      </c>
      <c r="F1010" s="120">
        <v>0</v>
      </c>
    </row>
    <row r="1011" spans="1:6" ht="12">
      <c r="A1011" s="190">
        <v>240314</v>
      </c>
      <c r="B1011" s="171" t="s">
        <v>991</v>
      </c>
      <c r="C1011" s="170" t="s">
        <v>1993</v>
      </c>
      <c r="D1011" s="178" t="s">
        <v>1994</v>
      </c>
      <c r="E1011" s="121">
        <v>5243</v>
      </c>
      <c r="F1011" s="120">
        <v>0</v>
      </c>
    </row>
    <row r="1012" spans="1:6" ht="12">
      <c r="A1012" s="190">
        <v>240314</v>
      </c>
      <c r="B1012" s="171" t="s">
        <v>991</v>
      </c>
      <c r="C1012" s="170" t="s">
        <v>1995</v>
      </c>
      <c r="D1012" s="178" t="s">
        <v>1996</v>
      </c>
      <c r="E1012" s="121">
        <v>2897</v>
      </c>
      <c r="F1012" s="120">
        <v>0</v>
      </c>
    </row>
    <row r="1013" spans="1:6" ht="12">
      <c r="A1013" s="190">
        <v>240314</v>
      </c>
      <c r="B1013" s="171" t="s">
        <v>991</v>
      </c>
      <c r="C1013" s="169" t="s">
        <v>1997</v>
      </c>
      <c r="D1013" s="178" t="s">
        <v>1998</v>
      </c>
      <c r="E1013" s="121">
        <v>21566</v>
      </c>
      <c r="F1013" s="120">
        <v>0</v>
      </c>
    </row>
    <row r="1014" spans="1:6" ht="12">
      <c r="A1014" s="190">
        <v>240314</v>
      </c>
      <c r="B1014" s="171" t="s">
        <v>991</v>
      </c>
      <c r="C1014" s="170" t="s">
        <v>1999</v>
      </c>
      <c r="D1014" s="178" t="s">
        <v>2000</v>
      </c>
      <c r="E1014" s="121">
        <v>27810</v>
      </c>
      <c r="F1014" s="120">
        <v>0</v>
      </c>
    </row>
    <row r="1015" spans="1:6" ht="12">
      <c r="A1015" s="190">
        <v>240314</v>
      </c>
      <c r="B1015" s="171" t="s">
        <v>991</v>
      </c>
      <c r="C1015" s="170" t="s">
        <v>2001</v>
      </c>
      <c r="D1015" s="178" t="s">
        <v>2002</v>
      </c>
      <c r="E1015" s="121">
        <v>18096</v>
      </c>
      <c r="F1015" s="120">
        <v>0</v>
      </c>
    </row>
    <row r="1016" spans="1:6" ht="12">
      <c r="A1016" s="190">
        <v>240314</v>
      </c>
      <c r="B1016" s="171" t="s">
        <v>991</v>
      </c>
      <c r="C1016" s="170" t="s">
        <v>2003</v>
      </c>
      <c r="D1016" s="178" t="s">
        <v>2004</v>
      </c>
      <c r="E1016" s="121">
        <v>24713</v>
      </c>
      <c r="F1016" s="120">
        <v>0</v>
      </c>
    </row>
    <row r="1017" spans="1:6" ht="12">
      <c r="A1017" s="190">
        <v>240314</v>
      </c>
      <c r="B1017" s="171" t="s">
        <v>991</v>
      </c>
      <c r="C1017" s="170" t="s">
        <v>2005</v>
      </c>
      <c r="D1017" s="178" t="s">
        <v>2006</v>
      </c>
      <c r="E1017" s="121">
        <v>5641</v>
      </c>
      <c r="F1017" s="120">
        <v>0</v>
      </c>
    </row>
    <row r="1018" spans="1:6" ht="12">
      <c r="A1018" s="190">
        <v>240314</v>
      </c>
      <c r="B1018" s="171" t="s">
        <v>991</v>
      </c>
      <c r="C1018" s="170" t="s">
        <v>2007</v>
      </c>
      <c r="D1018" s="178" t="s">
        <v>2008</v>
      </c>
      <c r="E1018" s="121">
        <v>95267</v>
      </c>
      <c r="F1018" s="120">
        <v>0</v>
      </c>
    </row>
    <row r="1019" spans="1:6" ht="12">
      <c r="A1019" s="190">
        <v>240314</v>
      </c>
      <c r="B1019" s="171" t="s">
        <v>991</v>
      </c>
      <c r="C1019" s="170">
        <v>210127001</v>
      </c>
      <c r="D1019" s="178" t="s">
        <v>2009</v>
      </c>
      <c r="E1019" s="121">
        <v>232346</v>
      </c>
      <c r="F1019" s="120">
        <v>0</v>
      </c>
    </row>
    <row r="1020" spans="1:6" ht="12">
      <c r="A1020" s="190">
        <v>240314</v>
      </c>
      <c r="B1020" s="171" t="s">
        <v>991</v>
      </c>
      <c r="C1020" s="169" t="s">
        <v>2010</v>
      </c>
      <c r="D1020" s="178" t="s">
        <v>2011</v>
      </c>
      <c r="E1020" s="121">
        <v>15432</v>
      </c>
      <c r="F1020" s="120">
        <v>0</v>
      </c>
    </row>
    <row r="1021" spans="1:6" ht="12">
      <c r="A1021" s="190">
        <v>240314</v>
      </c>
      <c r="B1021" s="171" t="s">
        <v>991</v>
      </c>
      <c r="C1021" s="169" t="s">
        <v>2012</v>
      </c>
      <c r="D1021" s="178" t="s">
        <v>2013</v>
      </c>
      <c r="E1021" s="121">
        <v>35263</v>
      </c>
      <c r="F1021" s="120">
        <v>0</v>
      </c>
    </row>
    <row r="1022" spans="1:6" ht="12">
      <c r="A1022" s="190">
        <v>240314</v>
      </c>
      <c r="B1022" s="171" t="s">
        <v>991</v>
      </c>
      <c r="C1022" s="170">
        <v>215027050</v>
      </c>
      <c r="D1022" s="178" t="s">
        <v>2014</v>
      </c>
      <c r="E1022" s="121">
        <v>14041</v>
      </c>
      <c r="F1022" s="120">
        <v>0</v>
      </c>
    </row>
    <row r="1023" spans="1:6" ht="12">
      <c r="A1023" s="190">
        <v>240314</v>
      </c>
      <c r="B1023" s="171" t="s">
        <v>991</v>
      </c>
      <c r="C1023" s="169">
        <v>217327073</v>
      </c>
      <c r="D1023" s="178" t="s">
        <v>2015</v>
      </c>
      <c r="E1023" s="121">
        <v>20419</v>
      </c>
      <c r="F1023" s="120">
        <v>0</v>
      </c>
    </row>
    <row r="1024" spans="1:6" ht="12">
      <c r="A1024" s="190">
        <v>240314</v>
      </c>
      <c r="B1024" s="171" t="s">
        <v>991</v>
      </c>
      <c r="C1024" s="169" t="s">
        <v>2016</v>
      </c>
      <c r="D1024" s="178" t="s">
        <v>2017</v>
      </c>
      <c r="E1024" s="121">
        <v>14846</v>
      </c>
      <c r="F1024" s="120">
        <v>0</v>
      </c>
    </row>
    <row r="1025" spans="1:6" ht="12">
      <c r="A1025" s="190">
        <v>240314</v>
      </c>
      <c r="B1025" s="171" t="s">
        <v>991</v>
      </c>
      <c r="C1025" s="170" t="s">
        <v>2018</v>
      </c>
      <c r="D1025" s="178" t="s">
        <v>2019</v>
      </c>
      <c r="E1025" s="121">
        <v>29312</v>
      </c>
      <c r="F1025" s="120">
        <v>0</v>
      </c>
    </row>
    <row r="1026" spans="1:6" ht="12">
      <c r="A1026" s="190">
        <v>240314</v>
      </c>
      <c r="B1026" s="171" t="s">
        <v>991</v>
      </c>
      <c r="C1026" s="170" t="s">
        <v>2020</v>
      </c>
      <c r="D1026" s="178" t="s">
        <v>2021</v>
      </c>
      <c r="E1026" s="121">
        <v>21699</v>
      </c>
      <c r="F1026" s="120">
        <v>0</v>
      </c>
    </row>
    <row r="1027" spans="1:6" ht="12">
      <c r="A1027" s="190">
        <v>240314</v>
      </c>
      <c r="B1027" s="171" t="s">
        <v>991</v>
      </c>
      <c r="C1027" s="170" t="s">
        <v>2022</v>
      </c>
      <c r="D1027" s="178" t="s">
        <v>2023</v>
      </c>
      <c r="E1027" s="121">
        <v>12449</v>
      </c>
      <c r="F1027" s="120">
        <v>0</v>
      </c>
    </row>
    <row r="1028" spans="1:6" ht="12">
      <c r="A1028" s="190">
        <v>240314</v>
      </c>
      <c r="B1028" s="171" t="s">
        <v>991</v>
      </c>
      <c r="C1028" s="169" t="s">
        <v>2024</v>
      </c>
      <c r="D1028" s="178" t="s">
        <v>2025</v>
      </c>
      <c r="E1028" s="121">
        <v>12777</v>
      </c>
      <c r="F1028" s="120">
        <v>0</v>
      </c>
    </row>
    <row r="1029" spans="1:6" ht="12">
      <c r="A1029" s="190">
        <v>240314</v>
      </c>
      <c r="B1029" s="171" t="s">
        <v>991</v>
      </c>
      <c r="C1029" s="170" t="s">
        <v>2026</v>
      </c>
      <c r="D1029" s="178" t="s">
        <v>2027</v>
      </c>
      <c r="E1029" s="121">
        <v>7549</v>
      </c>
      <c r="F1029" s="120">
        <v>0</v>
      </c>
    </row>
    <row r="1030" spans="1:6" ht="12">
      <c r="A1030" s="190">
        <v>240314</v>
      </c>
      <c r="B1030" s="171" t="s">
        <v>991</v>
      </c>
      <c r="C1030" s="170" t="s">
        <v>2028</v>
      </c>
      <c r="D1030" s="178" t="s">
        <v>2029</v>
      </c>
      <c r="E1030" s="121">
        <v>28431</v>
      </c>
      <c r="F1030" s="120">
        <v>0</v>
      </c>
    </row>
    <row r="1031" spans="1:6" ht="12">
      <c r="A1031" s="190">
        <v>240314</v>
      </c>
      <c r="B1031" s="171" t="s">
        <v>991</v>
      </c>
      <c r="C1031" s="170" t="s">
        <v>2030</v>
      </c>
      <c r="D1031" s="178" t="s">
        <v>2031</v>
      </c>
      <c r="E1031" s="121">
        <v>8851</v>
      </c>
      <c r="F1031" s="120">
        <v>0</v>
      </c>
    </row>
    <row r="1032" spans="1:6" ht="12">
      <c r="A1032" s="190">
        <v>240314</v>
      </c>
      <c r="B1032" s="171" t="s">
        <v>991</v>
      </c>
      <c r="C1032" s="170" t="s">
        <v>2032</v>
      </c>
      <c r="D1032" s="178" t="s">
        <v>2033</v>
      </c>
      <c r="E1032" s="121">
        <v>23479</v>
      </c>
      <c r="F1032" s="120">
        <v>0</v>
      </c>
    </row>
    <row r="1033" spans="1:6" ht="12">
      <c r="A1033" s="190">
        <v>240314</v>
      </c>
      <c r="B1033" s="171" t="s">
        <v>991</v>
      </c>
      <c r="C1033" s="170">
        <v>216127361</v>
      </c>
      <c r="D1033" s="178" t="s">
        <v>2034</v>
      </c>
      <c r="E1033" s="121">
        <v>58872</v>
      </c>
      <c r="F1033" s="120">
        <v>0</v>
      </c>
    </row>
    <row r="1034" spans="1:6" ht="12">
      <c r="A1034" s="190">
        <v>240314</v>
      </c>
      <c r="B1034" s="171" t="s">
        <v>991</v>
      </c>
      <c r="C1034" s="170">
        <v>217227372</v>
      </c>
      <c r="D1034" s="178" t="s">
        <v>2035</v>
      </c>
      <c r="E1034" s="121">
        <v>4796</v>
      </c>
      <c r="F1034" s="120">
        <v>0</v>
      </c>
    </row>
    <row r="1035" spans="1:6" ht="12">
      <c r="A1035" s="190">
        <v>240314</v>
      </c>
      <c r="B1035" s="171" t="s">
        <v>991</v>
      </c>
      <c r="C1035" s="170">
        <v>211327413</v>
      </c>
      <c r="D1035" s="178" t="s">
        <v>2036</v>
      </c>
      <c r="E1035" s="121">
        <v>17471</v>
      </c>
      <c r="F1035" s="120">
        <v>0</v>
      </c>
    </row>
    <row r="1036" spans="1:6" ht="12">
      <c r="A1036" s="190">
        <v>240314</v>
      </c>
      <c r="B1036" s="171" t="s">
        <v>991</v>
      </c>
      <c r="C1036" s="169">
        <v>212527425</v>
      </c>
      <c r="D1036" s="178" t="s">
        <v>2037</v>
      </c>
      <c r="E1036" s="121">
        <v>15583</v>
      </c>
      <c r="F1036" s="120">
        <v>0</v>
      </c>
    </row>
    <row r="1037" spans="1:6" ht="12">
      <c r="A1037" s="190">
        <v>240314</v>
      </c>
      <c r="B1037" s="171" t="s">
        <v>991</v>
      </c>
      <c r="C1037" s="169">
        <v>213027430</v>
      </c>
      <c r="D1037" s="178" t="s">
        <v>2038</v>
      </c>
      <c r="E1037" s="121">
        <v>23771</v>
      </c>
      <c r="F1037" s="120">
        <v>0</v>
      </c>
    </row>
    <row r="1038" spans="1:6" ht="12">
      <c r="A1038" s="190">
        <v>240314</v>
      </c>
      <c r="B1038" s="171" t="s">
        <v>991</v>
      </c>
      <c r="C1038" s="169">
        <v>215027450</v>
      </c>
      <c r="D1038" s="178" t="s">
        <v>2039</v>
      </c>
      <c r="E1038" s="121">
        <v>17830</v>
      </c>
      <c r="F1038" s="120">
        <v>0</v>
      </c>
    </row>
    <row r="1039" spans="1:6" ht="12">
      <c r="A1039" s="190">
        <v>240314</v>
      </c>
      <c r="B1039" s="171" t="s">
        <v>991</v>
      </c>
      <c r="C1039" s="169">
        <v>219127491</v>
      </c>
      <c r="D1039" s="178" t="s">
        <v>2040</v>
      </c>
      <c r="E1039" s="121">
        <v>10426</v>
      </c>
      <c r="F1039" s="120">
        <v>0</v>
      </c>
    </row>
    <row r="1040" spans="1:6" ht="12">
      <c r="A1040" s="190">
        <v>240314</v>
      </c>
      <c r="B1040" s="171" t="s">
        <v>991</v>
      </c>
      <c r="C1040" s="170">
        <v>219527495</v>
      </c>
      <c r="D1040" s="178" t="s">
        <v>2041</v>
      </c>
      <c r="E1040" s="121">
        <v>12188</v>
      </c>
      <c r="F1040" s="120">
        <v>0</v>
      </c>
    </row>
    <row r="1041" spans="1:6" ht="12">
      <c r="A1041" s="190">
        <v>240314</v>
      </c>
      <c r="B1041" s="171" t="s">
        <v>991</v>
      </c>
      <c r="C1041" s="170">
        <v>218027580</v>
      </c>
      <c r="D1041" s="178" t="s">
        <v>2042</v>
      </c>
      <c r="E1041" s="121">
        <v>10274</v>
      </c>
      <c r="F1041" s="120">
        <v>0</v>
      </c>
    </row>
    <row r="1042" spans="1:6" ht="12">
      <c r="A1042" s="190">
        <v>240314</v>
      </c>
      <c r="B1042" s="171" t="s">
        <v>991</v>
      </c>
      <c r="C1042" s="170">
        <v>210027600</v>
      </c>
      <c r="D1042" s="178" t="s">
        <v>2043</v>
      </c>
      <c r="E1042" s="121">
        <v>16090</v>
      </c>
      <c r="F1042" s="120">
        <v>0</v>
      </c>
    </row>
    <row r="1043" spans="1:6" ht="12">
      <c r="A1043" s="190">
        <v>240314</v>
      </c>
      <c r="B1043" s="171" t="s">
        <v>991</v>
      </c>
      <c r="C1043" s="170">
        <v>211417614</v>
      </c>
      <c r="D1043" s="178" t="s">
        <v>2044</v>
      </c>
      <c r="E1043" s="121">
        <v>48589</v>
      </c>
      <c r="F1043" s="120">
        <v>0</v>
      </c>
    </row>
    <row r="1044" spans="1:6" ht="12">
      <c r="A1044" s="190">
        <v>240314</v>
      </c>
      <c r="B1044" s="171" t="s">
        <v>991</v>
      </c>
      <c r="C1044" s="170">
        <v>216027660</v>
      </c>
      <c r="D1044" s="178" t="s">
        <v>2045</v>
      </c>
      <c r="E1044" s="121">
        <v>7090</v>
      </c>
      <c r="F1044" s="120">
        <v>0</v>
      </c>
    </row>
    <row r="1045" spans="1:6" ht="12">
      <c r="A1045" s="190">
        <v>240314</v>
      </c>
      <c r="B1045" s="171" t="s">
        <v>991</v>
      </c>
      <c r="C1045" s="170">
        <v>214527745</v>
      </c>
      <c r="D1045" s="178" t="s">
        <v>2046</v>
      </c>
      <c r="E1045" s="121">
        <v>7141</v>
      </c>
      <c r="F1045" s="120">
        <v>0</v>
      </c>
    </row>
    <row r="1046" spans="1:6" ht="12">
      <c r="A1046" s="190">
        <v>240314</v>
      </c>
      <c r="B1046" s="171" t="s">
        <v>991</v>
      </c>
      <c r="C1046" s="169" t="s">
        <v>2047</v>
      </c>
      <c r="D1046" s="178" t="s">
        <v>2048</v>
      </c>
      <c r="E1046" s="121">
        <v>35476</v>
      </c>
      <c r="F1046" s="120">
        <v>0</v>
      </c>
    </row>
    <row r="1047" spans="1:6" ht="12">
      <c r="A1047" s="190">
        <v>240314</v>
      </c>
      <c r="B1047" s="171" t="s">
        <v>991</v>
      </c>
      <c r="C1047" s="169">
        <v>210027800</v>
      </c>
      <c r="D1047" s="178" t="s">
        <v>2049</v>
      </c>
      <c r="E1047" s="121">
        <v>20360</v>
      </c>
      <c r="F1047" s="120">
        <v>0</v>
      </c>
    </row>
    <row r="1048" spans="1:6" ht="12">
      <c r="A1048" s="190">
        <v>240314</v>
      </c>
      <c r="B1048" s="171" t="s">
        <v>991</v>
      </c>
      <c r="C1048" s="169">
        <v>211027810</v>
      </c>
      <c r="D1048" s="178" t="s">
        <v>2050</v>
      </c>
      <c r="E1048" s="121">
        <v>10821</v>
      </c>
      <c r="F1048" s="120">
        <v>0</v>
      </c>
    </row>
    <row r="1049" spans="1:6" ht="12">
      <c r="A1049" s="190">
        <v>240314</v>
      </c>
      <c r="B1049" s="171" t="s">
        <v>991</v>
      </c>
      <c r="C1049" s="170" t="s">
        <v>2051</v>
      </c>
      <c r="D1049" s="178" t="s">
        <v>2052</v>
      </c>
      <c r="E1049" s="121">
        <v>28051</v>
      </c>
      <c r="F1049" s="120">
        <v>0</v>
      </c>
    </row>
    <row r="1050" spans="1:6" ht="12">
      <c r="A1050" s="190">
        <v>240314</v>
      </c>
      <c r="B1050" s="171" t="s">
        <v>991</v>
      </c>
      <c r="C1050" s="170" t="s">
        <v>2053</v>
      </c>
      <c r="D1050" s="178" t="s">
        <v>2054</v>
      </c>
      <c r="E1050" s="121">
        <v>11435</v>
      </c>
      <c r="F1050" s="120">
        <v>0</v>
      </c>
    </row>
    <row r="1051" spans="1:6" ht="12">
      <c r="A1051" s="190">
        <v>240314</v>
      </c>
      <c r="B1051" s="171" t="s">
        <v>991</v>
      </c>
      <c r="C1051" s="170" t="s">
        <v>2055</v>
      </c>
      <c r="D1051" s="178" t="s">
        <v>2056</v>
      </c>
      <c r="E1051" s="121">
        <v>22628</v>
      </c>
      <c r="F1051" s="120">
        <v>0</v>
      </c>
    </row>
    <row r="1052" spans="1:6" ht="12">
      <c r="A1052" s="190">
        <v>240314</v>
      </c>
      <c r="B1052" s="171" t="s">
        <v>991</v>
      </c>
      <c r="C1052" s="170" t="s">
        <v>2057</v>
      </c>
      <c r="D1052" s="178" t="s">
        <v>2058</v>
      </c>
      <c r="E1052" s="121">
        <v>29168</v>
      </c>
      <c r="F1052" s="120">
        <v>0</v>
      </c>
    </row>
    <row r="1053" spans="1:6" ht="12">
      <c r="A1053" s="190">
        <v>240314</v>
      </c>
      <c r="B1053" s="171" t="s">
        <v>991</v>
      </c>
      <c r="C1053" s="170" t="s">
        <v>2059</v>
      </c>
      <c r="D1053" s="178" t="s">
        <v>2060</v>
      </c>
      <c r="E1053" s="121">
        <v>4819</v>
      </c>
      <c r="F1053" s="120">
        <v>0</v>
      </c>
    </row>
    <row r="1054" spans="1:6" ht="12">
      <c r="A1054" s="190">
        <v>240314</v>
      </c>
      <c r="B1054" s="171" t="s">
        <v>991</v>
      </c>
      <c r="C1054" s="170" t="s">
        <v>2061</v>
      </c>
      <c r="D1054" s="178" t="s">
        <v>2062</v>
      </c>
      <c r="E1054" s="121">
        <v>10446</v>
      </c>
      <c r="F1054" s="120">
        <v>0</v>
      </c>
    </row>
    <row r="1055" spans="1:6" ht="12">
      <c r="A1055" s="190">
        <v>240314</v>
      </c>
      <c r="B1055" s="171" t="s">
        <v>991</v>
      </c>
      <c r="C1055" s="170" t="s">
        <v>2063</v>
      </c>
      <c r="D1055" s="178" t="s">
        <v>2064</v>
      </c>
      <c r="E1055" s="121">
        <v>38210</v>
      </c>
      <c r="F1055" s="120">
        <v>0</v>
      </c>
    </row>
    <row r="1056" spans="1:6" ht="12">
      <c r="A1056" s="190">
        <v>240314</v>
      </c>
      <c r="B1056" s="171" t="s">
        <v>991</v>
      </c>
      <c r="C1056" s="170" t="s">
        <v>2065</v>
      </c>
      <c r="D1056" s="178" t="s">
        <v>2066</v>
      </c>
      <c r="E1056" s="121">
        <v>11893</v>
      </c>
      <c r="F1056" s="120">
        <v>0</v>
      </c>
    </row>
    <row r="1057" spans="1:6" ht="12">
      <c r="A1057" s="190">
        <v>240314</v>
      </c>
      <c r="B1057" s="171" t="s">
        <v>991</v>
      </c>
      <c r="C1057" s="170">
        <v>214441244</v>
      </c>
      <c r="D1057" s="178" t="s">
        <v>2067</v>
      </c>
      <c r="E1057" s="121">
        <v>4320</v>
      </c>
      <c r="F1057" s="120">
        <v>0</v>
      </c>
    </row>
    <row r="1058" spans="1:6" ht="12">
      <c r="A1058" s="190">
        <v>240314</v>
      </c>
      <c r="B1058" s="171" t="s">
        <v>991</v>
      </c>
      <c r="C1058" s="170" t="s">
        <v>2068</v>
      </c>
      <c r="D1058" s="178" t="s">
        <v>2069</v>
      </c>
      <c r="E1058" s="121">
        <v>77120</v>
      </c>
      <c r="F1058" s="120">
        <v>0</v>
      </c>
    </row>
    <row r="1059" spans="1:6" ht="12">
      <c r="A1059" s="190">
        <v>240314</v>
      </c>
      <c r="B1059" s="171" t="s">
        <v>991</v>
      </c>
      <c r="C1059" s="169" t="s">
        <v>2070</v>
      </c>
      <c r="D1059" s="178" t="s">
        <v>2071</v>
      </c>
      <c r="E1059" s="121">
        <v>36499</v>
      </c>
      <c r="F1059" s="120">
        <v>0</v>
      </c>
    </row>
    <row r="1060" spans="1:6" ht="12">
      <c r="A1060" s="190">
        <v>240314</v>
      </c>
      <c r="B1060" s="171" t="s">
        <v>991</v>
      </c>
      <c r="C1060" s="169" t="s">
        <v>2072</v>
      </c>
      <c r="D1060" s="178" t="s">
        <v>1181</v>
      </c>
      <c r="E1060" s="121">
        <v>22905</v>
      </c>
      <c r="F1060" s="120">
        <v>0</v>
      </c>
    </row>
    <row r="1061" spans="1:6" ht="12">
      <c r="A1061" s="190">
        <v>240314</v>
      </c>
      <c r="B1061" s="171" t="s">
        <v>991</v>
      </c>
      <c r="C1061" s="169" t="s">
        <v>2073</v>
      </c>
      <c r="D1061" s="178" t="s">
        <v>2074</v>
      </c>
      <c r="E1061" s="121">
        <v>8347</v>
      </c>
      <c r="F1061" s="120">
        <v>0</v>
      </c>
    </row>
    <row r="1062" spans="1:6" ht="12">
      <c r="A1062" s="190">
        <v>240314</v>
      </c>
      <c r="B1062" s="171" t="s">
        <v>991</v>
      </c>
      <c r="C1062" s="169" t="s">
        <v>2075</v>
      </c>
      <c r="D1062" s="178" t="s">
        <v>2076</v>
      </c>
      <c r="E1062" s="121">
        <v>15382</v>
      </c>
      <c r="F1062" s="120">
        <v>0</v>
      </c>
    </row>
    <row r="1063" spans="1:6" ht="12">
      <c r="A1063" s="190">
        <v>240314</v>
      </c>
      <c r="B1063" s="171" t="s">
        <v>991</v>
      </c>
      <c r="C1063" s="169" t="s">
        <v>2077</v>
      </c>
      <c r="D1063" s="178" t="s">
        <v>2078</v>
      </c>
      <c r="E1063" s="121">
        <v>26510</v>
      </c>
      <c r="F1063" s="120">
        <v>0</v>
      </c>
    </row>
    <row r="1064" spans="1:6" ht="12">
      <c r="A1064" s="190">
        <v>240314</v>
      </c>
      <c r="B1064" s="171" t="s">
        <v>991</v>
      </c>
      <c r="C1064" s="169" t="s">
        <v>2079</v>
      </c>
      <c r="D1064" s="178" t="s">
        <v>2080</v>
      </c>
      <c r="E1064" s="121">
        <v>16386</v>
      </c>
      <c r="F1064" s="120">
        <v>0</v>
      </c>
    </row>
    <row r="1065" spans="1:6" ht="12">
      <c r="A1065" s="190">
        <v>240314</v>
      </c>
      <c r="B1065" s="171" t="s">
        <v>991</v>
      </c>
      <c r="C1065" s="169" t="s">
        <v>2081</v>
      </c>
      <c r="D1065" s="178" t="s">
        <v>2082</v>
      </c>
      <c r="E1065" s="121">
        <v>63661</v>
      </c>
      <c r="F1065" s="120">
        <v>0</v>
      </c>
    </row>
    <row r="1066" spans="1:6" ht="12">
      <c r="A1066" s="190">
        <v>240314</v>
      </c>
      <c r="B1066" s="171" t="s">
        <v>991</v>
      </c>
      <c r="C1066" s="169">
        <v>218341483</v>
      </c>
      <c r="D1066" s="178" t="s">
        <v>2083</v>
      </c>
      <c r="E1066" s="121">
        <v>9411</v>
      </c>
      <c r="F1066" s="120">
        <v>0</v>
      </c>
    </row>
    <row r="1067" spans="1:6" ht="12">
      <c r="A1067" s="190">
        <v>240314</v>
      </c>
      <c r="B1067" s="171" t="s">
        <v>991</v>
      </c>
      <c r="C1067" s="169" t="s">
        <v>2084</v>
      </c>
      <c r="D1067" s="178" t="s">
        <v>2085</v>
      </c>
      <c r="E1067" s="121">
        <v>12056</v>
      </c>
      <c r="F1067" s="120">
        <v>0</v>
      </c>
    </row>
    <row r="1068" spans="1:6" ht="12">
      <c r="A1068" s="190">
        <v>240314</v>
      </c>
      <c r="B1068" s="171" t="s">
        <v>991</v>
      </c>
      <c r="C1068" s="169" t="s">
        <v>2086</v>
      </c>
      <c r="D1068" s="178" t="s">
        <v>2087</v>
      </c>
      <c r="E1068" s="121">
        <v>6999</v>
      </c>
      <c r="F1068" s="120">
        <v>0</v>
      </c>
    </row>
    <row r="1069" spans="1:6" ht="12">
      <c r="A1069" s="190">
        <v>240314</v>
      </c>
      <c r="B1069" s="171" t="s">
        <v>991</v>
      </c>
      <c r="C1069" s="169" t="s">
        <v>2088</v>
      </c>
      <c r="D1069" s="178" t="s">
        <v>2089</v>
      </c>
      <c r="E1069" s="121">
        <v>29010</v>
      </c>
      <c r="F1069" s="120">
        <v>0</v>
      </c>
    </row>
    <row r="1070" spans="1:6" ht="12">
      <c r="A1070" s="190">
        <v>240314</v>
      </c>
      <c r="B1070" s="171" t="s">
        <v>991</v>
      </c>
      <c r="C1070" s="169" t="s">
        <v>2090</v>
      </c>
      <c r="D1070" s="178" t="s">
        <v>1636</v>
      </c>
      <c r="E1070" s="121">
        <v>13353</v>
      </c>
      <c r="F1070" s="120">
        <v>0</v>
      </c>
    </row>
    <row r="1071" spans="1:6" ht="12">
      <c r="A1071" s="190">
        <v>240314</v>
      </c>
      <c r="B1071" s="171" t="s">
        <v>991</v>
      </c>
      <c r="C1071" s="169">
        <v>214841548</v>
      </c>
      <c r="D1071" s="178" t="s">
        <v>2091</v>
      </c>
      <c r="E1071" s="121">
        <v>16296</v>
      </c>
      <c r="F1071" s="120">
        <v>0</v>
      </c>
    </row>
    <row r="1072" spans="1:6" ht="12">
      <c r="A1072" s="190">
        <v>240314</v>
      </c>
      <c r="B1072" s="171" t="s">
        <v>991</v>
      </c>
      <c r="C1072" s="169" t="s">
        <v>2092</v>
      </c>
      <c r="D1072" s="178" t="s">
        <v>2093</v>
      </c>
      <c r="E1072" s="121">
        <v>126305</v>
      </c>
      <c r="F1072" s="120">
        <v>0</v>
      </c>
    </row>
    <row r="1073" spans="1:6" ht="12">
      <c r="A1073" s="190">
        <v>240314</v>
      </c>
      <c r="B1073" s="171" t="s">
        <v>991</v>
      </c>
      <c r="C1073" s="169" t="s">
        <v>2094</v>
      </c>
      <c r="D1073" s="178" t="s">
        <v>2095</v>
      </c>
      <c r="E1073" s="121">
        <v>22667</v>
      </c>
      <c r="F1073" s="120">
        <v>0</v>
      </c>
    </row>
    <row r="1074" spans="1:6" ht="12">
      <c r="A1074" s="190">
        <v>240314</v>
      </c>
      <c r="B1074" s="171" t="s">
        <v>991</v>
      </c>
      <c r="C1074" s="169" t="s">
        <v>2096</v>
      </c>
      <c r="D1074" s="178" t="s">
        <v>2097</v>
      </c>
      <c r="E1074" s="121">
        <v>11567</v>
      </c>
      <c r="F1074" s="120">
        <v>0</v>
      </c>
    </row>
    <row r="1075" spans="1:6" ht="12">
      <c r="A1075" s="190">
        <v>240314</v>
      </c>
      <c r="B1075" s="171" t="s">
        <v>991</v>
      </c>
      <c r="C1075" s="169" t="s">
        <v>2098</v>
      </c>
      <c r="D1075" s="178" t="s">
        <v>2099</v>
      </c>
      <c r="E1075" s="121">
        <v>34120</v>
      </c>
      <c r="F1075" s="120">
        <v>0</v>
      </c>
    </row>
    <row r="1076" spans="1:6" ht="12">
      <c r="A1076" s="190">
        <v>240314</v>
      </c>
      <c r="B1076" s="171" t="s">
        <v>991</v>
      </c>
      <c r="C1076" s="169" t="s">
        <v>2100</v>
      </c>
      <c r="D1076" s="178" t="s">
        <v>1586</v>
      </c>
      <c r="E1076" s="121">
        <v>12601</v>
      </c>
      <c r="F1076" s="120">
        <v>0</v>
      </c>
    </row>
    <row r="1077" spans="1:6" ht="12">
      <c r="A1077" s="190">
        <v>240314</v>
      </c>
      <c r="B1077" s="171" t="s">
        <v>991</v>
      </c>
      <c r="C1077" s="169" t="s">
        <v>2101</v>
      </c>
      <c r="D1077" s="178" t="s">
        <v>2102</v>
      </c>
      <c r="E1077" s="121">
        <v>18440</v>
      </c>
      <c r="F1077" s="120">
        <v>0</v>
      </c>
    </row>
    <row r="1078" spans="1:6" ht="12">
      <c r="A1078" s="190">
        <v>240314</v>
      </c>
      <c r="B1078" s="171" t="s">
        <v>991</v>
      </c>
      <c r="C1078" s="169">
        <v>219141791</v>
      </c>
      <c r="D1078" s="178" t="s">
        <v>2103</v>
      </c>
      <c r="E1078" s="121">
        <v>21002</v>
      </c>
      <c r="F1078" s="120">
        <v>0</v>
      </c>
    </row>
    <row r="1079" spans="1:6" ht="12">
      <c r="A1079" s="190">
        <v>240314</v>
      </c>
      <c r="B1079" s="171" t="s">
        <v>991</v>
      </c>
      <c r="C1079" s="169" t="s">
        <v>2104</v>
      </c>
      <c r="D1079" s="178" t="s">
        <v>2105</v>
      </c>
      <c r="E1079" s="121">
        <v>11914</v>
      </c>
      <c r="F1079" s="120">
        <v>0</v>
      </c>
    </row>
    <row r="1080" spans="1:6" ht="12">
      <c r="A1080" s="190">
        <v>240314</v>
      </c>
      <c r="B1080" s="171" t="s">
        <v>991</v>
      </c>
      <c r="C1080" s="169" t="s">
        <v>2106</v>
      </c>
      <c r="D1080" s="178" t="s">
        <v>2107</v>
      </c>
      <c r="E1080" s="121">
        <v>18611</v>
      </c>
      <c r="F1080" s="120">
        <v>0</v>
      </c>
    </row>
    <row r="1081" spans="1:6" ht="12">
      <c r="A1081" s="190">
        <v>240314</v>
      </c>
      <c r="B1081" s="171" t="s">
        <v>991</v>
      </c>
      <c r="C1081" s="169" t="s">
        <v>2108</v>
      </c>
      <c r="D1081" s="178" t="s">
        <v>2109</v>
      </c>
      <c r="E1081" s="121">
        <v>10461</v>
      </c>
      <c r="F1081" s="120">
        <v>0</v>
      </c>
    </row>
    <row r="1082" spans="1:6" ht="12">
      <c r="A1082" s="190">
        <v>240314</v>
      </c>
      <c r="B1082" s="171" t="s">
        <v>991</v>
      </c>
      <c r="C1082" s="169" t="s">
        <v>2110</v>
      </c>
      <c r="D1082" s="178" t="s">
        <v>2111</v>
      </c>
      <c r="E1082" s="121">
        <v>24201</v>
      </c>
      <c r="F1082" s="120">
        <v>0</v>
      </c>
    </row>
    <row r="1083" spans="1:6" ht="12">
      <c r="A1083" s="190">
        <v>240314</v>
      </c>
      <c r="B1083" s="171" t="s">
        <v>991</v>
      </c>
      <c r="C1083" s="169" t="s">
        <v>2112</v>
      </c>
      <c r="D1083" s="178" t="s">
        <v>2113</v>
      </c>
      <c r="E1083" s="121">
        <v>9316</v>
      </c>
      <c r="F1083" s="120">
        <v>0</v>
      </c>
    </row>
    <row r="1084" spans="1:6" ht="12">
      <c r="A1084" s="190">
        <v>240314</v>
      </c>
      <c r="B1084" s="171" t="s">
        <v>991</v>
      </c>
      <c r="C1084" s="169" t="s">
        <v>2114</v>
      </c>
      <c r="D1084" s="178" t="s">
        <v>2115</v>
      </c>
      <c r="E1084" s="121">
        <v>10668</v>
      </c>
      <c r="F1084" s="120">
        <v>0</v>
      </c>
    </row>
    <row r="1085" spans="1:6" ht="12">
      <c r="A1085" s="190">
        <v>240314</v>
      </c>
      <c r="B1085" s="171" t="s">
        <v>991</v>
      </c>
      <c r="C1085" s="170" t="s">
        <v>2116</v>
      </c>
      <c r="D1085" s="178" t="s">
        <v>2117</v>
      </c>
      <c r="E1085" s="121">
        <v>168361</v>
      </c>
      <c r="F1085" s="120">
        <v>0</v>
      </c>
    </row>
    <row r="1086" spans="1:6" ht="12">
      <c r="A1086" s="190">
        <v>240314</v>
      </c>
      <c r="B1086" s="171" t="s">
        <v>991</v>
      </c>
      <c r="C1086" s="170" t="s">
        <v>2118</v>
      </c>
      <c r="D1086" s="178" t="s">
        <v>1646</v>
      </c>
      <c r="E1086" s="121">
        <v>15778</v>
      </c>
      <c r="F1086" s="120">
        <v>0</v>
      </c>
    </row>
    <row r="1087" spans="1:6" ht="12">
      <c r="A1087" s="190">
        <v>240314</v>
      </c>
      <c r="B1087" s="171" t="s">
        <v>991</v>
      </c>
      <c r="C1087" s="170" t="s">
        <v>2119</v>
      </c>
      <c r="D1087" s="178" t="s">
        <v>2120</v>
      </c>
      <c r="E1087" s="121">
        <v>32518</v>
      </c>
      <c r="F1087" s="120">
        <v>0</v>
      </c>
    </row>
    <row r="1088" spans="1:6" ht="12">
      <c r="A1088" s="190">
        <v>240314</v>
      </c>
      <c r="B1088" s="171" t="s">
        <v>991</v>
      </c>
      <c r="C1088" s="169" t="s">
        <v>2121</v>
      </c>
      <c r="D1088" s="178" t="s">
        <v>2122</v>
      </c>
      <c r="E1088" s="121">
        <v>32600</v>
      </c>
      <c r="F1088" s="120">
        <v>0</v>
      </c>
    </row>
    <row r="1089" spans="1:6" ht="12">
      <c r="A1089" s="190">
        <v>240314</v>
      </c>
      <c r="B1089" s="171" t="s">
        <v>991</v>
      </c>
      <c r="C1089" s="170" t="s">
        <v>2123</v>
      </c>
      <c r="D1089" s="178" t="s">
        <v>2124</v>
      </c>
      <c r="E1089" s="121">
        <v>9750</v>
      </c>
      <c r="F1089" s="120">
        <v>0</v>
      </c>
    </row>
    <row r="1090" spans="1:6" ht="12">
      <c r="A1090" s="190">
        <v>240314</v>
      </c>
      <c r="B1090" s="171" t="s">
        <v>991</v>
      </c>
      <c r="C1090" s="170" t="s">
        <v>2125</v>
      </c>
      <c r="D1090" s="178" t="s">
        <v>2126</v>
      </c>
      <c r="E1090" s="121">
        <v>8940</v>
      </c>
      <c r="F1090" s="120">
        <v>0</v>
      </c>
    </row>
    <row r="1091" spans="1:6" ht="12">
      <c r="A1091" s="190">
        <v>240314</v>
      </c>
      <c r="B1091" s="171" t="s">
        <v>991</v>
      </c>
      <c r="C1091" s="170" t="s">
        <v>2127</v>
      </c>
      <c r="D1091" s="178" t="s">
        <v>2128</v>
      </c>
      <c r="E1091" s="121">
        <v>43061</v>
      </c>
      <c r="F1091" s="120">
        <v>0</v>
      </c>
    </row>
    <row r="1092" spans="1:6" ht="12">
      <c r="A1092" s="190">
        <v>240314</v>
      </c>
      <c r="B1092" s="171" t="s">
        <v>991</v>
      </c>
      <c r="C1092" s="170" t="s">
        <v>2129</v>
      </c>
      <c r="D1092" s="178" t="s">
        <v>2130</v>
      </c>
      <c r="E1092" s="121">
        <v>14877</v>
      </c>
      <c r="F1092" s="120">
        <v>0</v>
      </c>
    </row>
    <row r="1093" spans="1:6" ht="12">
      <c r="A1093" s="190">
        <v>240314</v>
      </c>
      <c r="B1093" s="171" t="s">
        <v>991</v>
      </c>
      <c r="C1093" s="170" t="s">
        <v>2131</v>
      </c>
      <c r="D1093" s="178" t="s">
        <v>2132</v>
      </c>
      <c r="E1093" s="121">
        <v>3742</v>
      </c>
      <c r="F1093" s="120">
        <v>0</v>
      </c>
    </row>
    <row r="1094" spans="1:6" ht="12">
      <c r="A1094" s="190">
        <v>240314</v>
      </c>
      <c r="B1094" s="171" t="s">
        <v>991</v>
      </c>
      <c r="C1094" s="170" t="s">
        <v>2133</v>
      </c>
      <c r="D1094" s="178" t="s">
        <v>1734</v>
      </c>
      <c r="E1094" s="121">
        <v>103949</v>
      </c>
      <c r="F1094" s="120">
        <v>0</v>
      </c>
    </row>
    <row r="1095" spans="1:6" ht="12">
      <c r="A1095" s="190">
        <v>240314</v>
      </c>
      <c r="B1095" s="171" t="s">
        <v>991</v>
      </c>
      <c r="C1095" s="170" t="s">
        <v>2134</v>
      </c>
      <c r="D1095" s="178" t="s">
        <v>2135</v>
      </c>
      <c r="E1095" s="121">
        <v>48228</v>
      </c>
      <c r="F1095" s="120">
        <v>0</v>
      </c>
    </row>
    <row r="1096" spans="1:6" ht="12">
      <c r="A1096" s="190">
        <v>240314</v>
      </c>
      <c r="B1096" s="171" t="s">
        <v>991</v>
      </c>
      <c r="C1096" s="170" t="s">
        <v>2136</v>
      </c>
      <c r="D1096" s="178" t="s">
        <v>2137</v>
      </c>
      <c r="E1096" s="121">
        <v>120368</v>
      </c>
      <c r="F1096" s="120">
        <v>0</v>
      </c>
    </row>
    <row r="1097" spans="1:6" ht="12">
      <c r="A1097" s="190">
        <v>240314</v>
      </c>
      <c r="B1097" s="171" t="s">
        <v>991</v>
      </c>
      <c r="C1097" s="170" t="s">
        <v>2138</v>
      </c>
      <c r="D1097" s="178" t="s">
        <v>2139</v>
      </c>
      <c r="E1097" s="121">
        <v>11354</v>
      </c>
      <c r="F1097" s="120">
        <v>0</v>
      </c>
    </row>
    <row r="1098" spans="1:6" ht="12">
      <c r="A1098" s="190">
        <v>240314</v>
      </c>
      <c r="B1098" s="171" t="s">
        <v>991</v>
      </c>
      <c r="C1098" s="170" t="s">
        <v>2140</v>
      </c>
      <c r="D1098" s="178" t="s">
        <v>1427</v>
      </c>
      <c r="E1098" s="121">
        <v>26665</v>
      </c>
      <c r="F1098" s="120">
        <v>0</v>
      </c>
    </row>
    <row r="1099" spans="1:6" ht="12">
      <c r="A1099" s="190">
        <v>240314</v>
      </c>
      <c r="B1099" s="171" t="s">
        <v>991</v>
      </c>
      <c r="C1099" s="169" t="s">
        <v>2141</v>
      </c>
      <c r="D1099" s="178" t="s">
        <v>2142</v>
      </c>
      <c r="E1099" s="121">
        <v>19687</v>
      </c>
      <c r="F1099" s="120">
        <v>0</v>
      </c>
    </row>
    <row r="1100" spans="1:6" ht="12">
      <c r="A1100" s="190">
        <v>240314</v>
      </c>
      <c r="B1100" s="171" t="s">
        <v>991</v>
      </c>
      <c r="C1100" s="169" t="s">
        <v>2143</v>
      </c>
      <c r="D1100" s="178" t="s">
        <v>2144</v>
      </c>
      <c r="E1100" s="121">
        <v>50323</v>
      </c>
      <c r="F1100" s="120">
        <v>0</v>
      </c>
    </row>
    <row r="1101" spans="1:6" ht="12">
      <c r="A1101" s="190">
        <v>240314</v>
      </c>
      <c r="B1101" s="171" t="s">
        <v>991</v>
      </c>
      <c r="C1101" s="169" t="s">
        <v>2145</v>
      </c>
      <c r="D1101" s="178" t="s">
        <v>2146</v>
      </c>
      <c r="E1101" s="121">
        <v>53980</v>
      </c>
      <c r="F1101" s="120">
        <v>0</v>
      </c>
    </row>
    <row r="1102" spans="1:6" ht="12">
      <c r="A1102" s="190">
        <v>240314</v>
      </c>
      <c r="B1102" s="171" t="s">
        <v>991</v>
      </c>
      <c r="C1102" s="169" t="s">
        <v>2147</v>
      </c>
      <c r="D1102" s="178" t="s">
        <v>2148</v>
      </c>
      <c r="E1102" s="121">
        <v>14045</v>
      </c>
      <c r="F1102" s="120">
        <v>0</v>
      </c>
    </row>
    <row r="1103" spans="1:6" ht="12">
      <c r="A1103" s="190">
        <v>240314</v>
      </c>
      <c r="B1103" s="171" t="s">
        <v>991</v>
      </c>
      <c r="C1103" s="169" t="s">
        <v>2149</v>
      </c>
      <c r="D1103" s="178" t="s">
        <v>2150</v>
      </c>
      <c r="E1103" s="121">
        <v>29035</v>
      </c>
      <c r="F1103" s="120">
        <v>0</v>
      </c>
    </row>
    <row r="1104" spans="1:6" ht="12">
      <c r="A1104" s="190">
        <v>240314</v>
      </c>
      <c r="B1104" s="171" t="s">
        <v>991</v>
      </c>
      <c r="C1104" s="169" t="s">
        <v>2151</v>
      </c>
      <c r="D1104" s="178" t="s">
        <v>1157</v>
      </c>
      <c r="E1104" s="121">
        <v>17656</v>
      </c>
      <c r="F1104" s="120">
        <v>0</v>
      </c>
    </row>
    <row r="1105" spans="1:6" ht="12">
      <c r="A1105" s="190">
        <v>240314</v>
      </c>
      <c r="B1105" s="171" t="s">
        <v>991</v>
      </c>
      <c r="C1105" s="169">
        <v>214547245</v>
      </c>
      <c r="D1105" s="178" t="s">
        <v>2152</v>
      </c>
      <c r="E1105" s="121">
        <v>117371</v>
      </c>
      <c r="F1105" s="120">
        <v>0</v>
      </c>
    </row>
    <row r="1106" spans="1:6" ht="12">
      <c r="A1106" s="190">
        <v>240314</v>
      </c>
      <c r="B1106" s="171" t="s">
        <v>991</v>
      </c>
      <c r="C1106" s="169">
        <v>215847258</v>
      </c>
      <c r="D1106" s="178" t="s">
        <v>2153</v>
      </c>
      <c r="E1106" s="121">
        <v>23993</v>
      </c>
      <c r="F1106" s="120">
        <v>0</v>
      </c>
    </row>
    <row r="1107" spans="1:6" ht="12">
      <c r="A1107" s="190">
        <v>240314</v>
      </c>
      <c r="B1107" s="171" t="s">
        <v>991</v>
      </c>
      <c r="C1107" s="169">
        <v>216847268</v>
      </c>
      <c r="D1107" s="178" t="s">
        <v>2154</v>
      </c>
      <c r="E1107" s="121">
        <v>33593</v>
      </c>
      <c r="F1107" s="120">
        <v>0</v>
      </c>
    </row>
    <row r="1108" spans="1:6" ht="12">
      <c r="A1108" s="190">
        <v>240314</v>
      </c>
      <c r="B1108" s="171" t="s">
        <v>991</v>
      </c>
      <c r="C1108" s="169">
        <v>218847288</v>
      </c>
      <c r="D1108" s="178" t="s">
        <v>2155</v>
      </c>
      <c r="E1108" s="121">
        <v>82913</v>
      </c>
      <c r="F1108" s="120">
        <v>0</v>
      </c>
    </row>
    <row r="1109" spans="1:6" ht="12">
      <c r="A1109" s="190">
        <v>240314</v>
      </c>
      <c r="B1109" s="171" t="s">
        <v>991</v>
      </c>
      <c r="C1109" s="169">
        <v>211847318</v>
      </c>
      <c r="D1109" s="178" t="s">
        <v>2156</v>
      </c>
      <c r="E1109" s="121">
        <v>53596</v>
      </c>
      <c r="F1109" s="120">
        <v>0</v>
      </c>
    </row>
    <row r="1110" spans="1:6" ht="12">
      <c r="A1110" s="190">
        <v>240314</v>
      </c>
      <c r="B1110" s="171" t="s">
        <v>991</v>
      </c>
      <c r="C1110" s="169">
        <v>216047460</v>
      </c>
      <c r="D1110" s="178" t="s">
        <v>2157</v>
      </c>
      <c r="E1110" s="121">
        <v>34935</v>
      </c>
      <c r="F1110" s="120">
        <v>0</v>
      </c>
    </row>
    <row r="1111" spans="1:6" ht="12">
      <c r="A1111" s="190">
        <v>240314</v>
      </c>
      <c r="B1111" s="171" t="s">
        <v>991</v>
      </c>
      <c r="C1111" s="169">
        <v>214147541</v>
      </c>
      <c r="D1111" s="178" t="s">
        <v>2158</v>
      </c>
      <c r="E1111" s="121">
        <v>16850</v>
      </c>
      <c r="F1111" s="120">
        <v>0</v>
      </c>
    </row>
    <row r="1112" spans="1:6" ht="12">
      <c r="A1112" s="190">
        <v>240314</v>
      </c>
      <c r="B1112" s="171" t="s">
        <v>991</v>
      </c>
      <c r="C1112" s="169">
        <v>214547545</v>
      </c>
      <c r="D1112" s="178" t="s">
        <v>2159</v>
      </c>
      <c r="E1112" s="121">
        <v>31187</v>
      </c>
      <c r="F1112" s="120">
        <v>0</v>
      </c>
    </row>
    <row r="1113" spans="1:6" ht="12">
      <c r="A1113" s="190">
        <v>240314</v>
      </c>
      <c r="B1113" s="171" t="s">
        <v>991</v>
      </c>
      <c r="C1113" s="169">
        <v>215147551</v>
      </c>
      <c r="D1113" s="178" t="s">
        <v>2160</v>
      </c>
      <c r="E1113" s="121">
        <v>65342</v>
      </c>
      <c r="F1113" s="120">
        <v>0</v>
      </c>
    </row>
    <row r="1114" spans="1:6" ht="12">
      <c r="A1114" s="190">
        <v>240314</v>
      </c>
      <c r="B1114" s="171" t="s">
        <v>991</v>
      </c>
      <c r="C1114" s="169">
        <v>215547555</v>
      </c>
      <c r="D1114" s="178" t="s">
        <v>2161</v>
      </c>
      <c r="E1114" s="121">
        <v>101779</v>
      </c>
      <c r="F1114" s="120">
        <v>0</v>
      </c>
    </row>
    <row r="1115" spans="1:6" ht="12">
      <c r="A1115" s="190">
        <v>240314</v>
      </c>
      <c r="B1115" s="171" t="s">
        <v>991</v>
      </c>
      <c r="C1115" s="169">
        <v>217047570</v>
      </c>
      <c r="D1115" s="178" t="s">
        <v>2162</v>
      </c>
      <c r="E1115" s="121">
        <v>39494</v>
      </c>
      <c r="F1115" s="120">
        <v>0</v>
      </c>
    </row>
    <row r="1116" spans="1:6" ht="12">
      <c r="A1116" s="190">
        <v>240314</v>
      </c>
      <c r="B1116" s="171" t="s">
        <v>991</v>
      </c>
      <c r="C1116" s="169">
        <v>210547605</v>
      </c>
      <c r="D1116" s="178" t="s">
        <v>2163</v>
      </c>
      <c r="E1116" s="121">
        <v>14948</v>
      </c>
      <c r="F1116" s="120">
        <v>0</v>
      </c>
    </row>
    <row r="1117" spans="1:6" ht="12">
      <c r="A1117" s="190">
        <v>240314</v>
      </c>
      <c r="B1117" s="171" t="s">
        <v>991</v>
      </c>
      <c r="C1117" s="169">
        <v>216047660</v>
      </c>
      <c r="D1117" s="178" t="s">
        <v>2164</v>
      </c>
      <c r="E1117" s="121">
        <v>22603</v>
      </c>
      <c r="F1117" s="120">
        <v>0</v>
      </c>
    </row>
    <row r="1118" spans="1:6" ht="12">
      <c r="A1118" s="190">
        <v>240314</v>
      </c>
      <c r="B1118" s="171" t="s">
        <v>991</v>
      </c>
      <c r="C1118" s="169">
        <v>217547675</v>
      </c>
      <c r="D1118" s="178" t="s">
        <v>1639</v>
      </c>
      <c r="E1118" s="121">
        <v>19345</v>
      </c>
      <c r="F1118" s="120">
        <v>0</v>
      </c>
    </row>
    <row r="1119" spans="1:6" ht="12">
      <c r="A1119" s="190">
        <v>240314</v>
      </c>
      <c r="B1119" s="171" t="s">
        <v>991</v>
      </c>
      <c r="C1119" s="169">
        <v>219247692</v>
      </c>
      <c r="D1119" s="178" t="s">
        <v>1696</v>
      </c>
      <c r="E1119" s="121">
        <v>41993</v>
      </c>
      <c r="F1119" s="120">
        <v>0</v>
      </c>
    </row>
    <row r="1120" spans="1:6" ht="12">
      <c r="A1120" s="190">
        <v>240314</v>
      </c>
      <c r="B1120" s="171" t="s">
        <v>991</v>
      </c>
      <c r="C1120" s="169">
        <v>210347703</v>
      </c>
      <c r="D1120" s="178" t="s">
        <v>2165</v>
      </c>
      <c r="E1120" s="121">
        <v>22478</v>
      </c>
      <c r="F1120" s="120">
        <v>0</v>
      </c>
    </row>
    <row r="1121" spans="1:6" ht="12">
      <c r="A1121" s="190">
        <v>240314</v>
      </c>
      <c r="B1121" s="171" t="s">
        <v>991</v>
      </c>
      <c r="C1121" s="169">
        <v>210747707</v>
      </c>
      <c r="D1121" s="178" t="s">
        <v>2166</v>
      </c>
      <c r="E1121" s="121">
        <v>42659</v>
      </c>
      <c r="F1121" s="120">
        <v>0</v>
      </c>
    </row>
    <row r="1122" spans="1:6" ht="12">
      <c r="A1122" s="190">
        <v>240314</v>
      </c>
      <c r="B1122" s="171" t="s">
        <v>991</v>
      </c>
      <c r="C1122" s="169">
        <v>212047720</v>
      </c>
      <c r="D1122" s="178" t="s">
        <v>2167</v>
      </c>
      <c r="E1122" s="121">
        <v>21319</v>
      </c>
      <c r="F1122" s="120">
        <v>0</v>
      </c>
    </row>
    <row r="1123" spans="1:6" ht="12">
      <c r="A1123" s="190">
        <v>240314</v>
      </c>
      <c r="B1123" s="171" t="s">
        <v>991</v>
      </c>
      <c r="C1123" s="169">
        <v>214547745</v>
      </c>
      <c r="D1123" s="178" t="s">
        <v>2168</v>
      </c>
      <c r="E1123" s="121">
        <v>42960</v>
      </c>
      <c r="F1123" s="120">
        <v>0</v>
      </c>
    </row>
    <row r="1124" spans="1:6" ht="12">
      <c r="A1124" s="190">
        <v>240314</v>
      </c>
      <c r="B1124" s="171" t="s">
        <v>991</v>
      </c>
      <c r="C1124" s="169">
        <v>219847798</v>
      </c>
      <c r="D1124" s="178" t="s">
        <v>2169</v>
      </c>
      <c r="E1124" s="121">
        <v>31868</v>
      </c>
      <c r="F1124" s="120">
        <v>0</v>
      </c>
    </row>
    <row r="1125" spans="1:6" ht="12">
      <c r="A1125" s="190">
        <v>240314</v>
      </c>
      <c r="B1125" s="171" t="s">
        <v>991</v>
      </c>
      <c r="C1125" s="169">
        <v>216047960</v>
      </c>
      <c r="D1125" s="178" t="s">
        <v>2170</v>
      </c>
      <c r="E1125" s="121">
        <v>15689</v>
      </c>
      <c r="F1125" s="120">
        <v>0</v>
      </c>
    </row>
    <row r="1126" spans="1:6" ht="12">
      <c r="A1126" s="190">
        <v>240314</v>
      </c>
      <c r="B1126" s="171" t="s">
        <v>991</v>
      </c>
      <c r="C1126" s="169">
        <v>218047980</v>
      </c>
      <c r="D1126" s="178" t="s">
        <v>2171</v>
      </c>
      <c r="E1126" s="121">
        <v>105112</v>
      </c>
      <c r="F1126" s="120">
        <v>0</v>
      </c>
    </row>
    <row r="1127" spans="1:6" ht="12">
      <c r="A1127" s="190">
        <v>240314</v>
      </c>
      <c r="B1127" s="171" t="s">
        <v>991</v>
      </c>
      <c r="C1127" s="169">
        <v>210650006</v>
      </c>
      <c r="D1127" s="178" t="s">
        <v>2172</v>
      </c>
      <c r="E1127" s="121">
        <v>77244</v>
      </c>
      <c r="F1127" s="120">
        <v>0</v>
      </c>
    </row>
    <row r="1128" spans="1:6" ht="12">
      <c r="A1128" s="190">
        <v>240314</v>
      </c>
      <c r="B1128" s="171" t="s">
        <v>991</v>
      </c>
      <c r="C1128" s="169">
        <v>211050110</v>
      </c>
      <c r="D1128" s="178" t="s">
        <v>2173</v>
      </c>
      <c r="E1128" s="121">
        <v>4310</v>
      </c>
      <c r="F1128" s="120">
        <v>0</v>
      </c>
    </row>
    <row r="1129" spans="1:6" ht="12">
      <c r="A1129" s="190">
        <v>240314</v>
      </c>
      <c r="B1129" s="171" t="s">
        <v>991</v>
      </c>
      <c r="C1129" s="169">
        <v>212450124</v>
      </c>
      <c r="D1129" s="178" t="s">
        <v>2174</v>
      </c>
      <c r="E1129" s="121">
        <v>4813</v>
      </c>
      <c r="F1129" s="120">
        <v>0</v>
      </c>
    </row>
    <row r="1130" spans="1:6" ht="12">
      <c r="A1130" s="190">
        <v>240314</v>
      </c>
      <c r="B1130" s="171" t="s">
        <v>991</v>
      </c>
      <c r="C1130" s="169">
        <v>215050150</v>
      </c>
      <c r="D1130" s="178" t="s">
        <v>2175</v>
      </c>
      <c r="E1130" s="121">
        <v>9689</v>
      </c>
      <c r="F1130" s="120">
        <v>0</v>
      </c>
    </row>
    <row r="1131" spans="1:6" ht="12">
      <c r="A1131" s="190">
        <v>240314</v>
      </c>
      <c r="B1131" s="171" t="s">
        <v>991</v>
      </c>
      <c r="C1131" s="169">
        <v>212350223</v>
      </c>
      <c r="D1131" s="178" t="s">
        <v>2176</v>
      </c>
      <c r="E1131" s="121">
        <v>5940</v>
      </c>
      <c r="F1131" s="120">
        <v>0</v>
      </c>
    </row>
    <row r="1132" spans="1:6" ht="12">
      <c r="A1132" s="190">
        <v>240314</v>
      </c>
      <c r="B1132" s="171" t="s">
        <v>991</v>
      </c>
      <c r="C1132" s="169">
        <v>212650226</v>
      </c>
      <c r="D1132" s="178" t="s">
        <v>2177</v>
      </c>
      <c r="E1132" s="121">
        <v>22339</v>
      </c>
      <c r="F1132" s="120">
        <v>0</v>
      </c>
    </row>
    <row r="1133" spans="1:6" ht="12">
      <c r="A1133" s="190">
        <v>240314</v>
      </c>
      <c r="B1133" s="171" t="s">
        <v>991</v>
      </c>
      <c r="C1133" s="169">
        <v>214550245</v>
      </c>
      <c r="D1133" s="178" t="s">
        <v>2178</v>
      </c>
      <c r="E1133" s="121">
        <v>3663</v>
      </c>
      <c r="F1133" s="120">
        <v>0</v>
      </c>
    </row>
    <row r="1134" spans="1:6" ht="12">
      <c r="A1134" s="190">
        <v>240314</v>
      </c>
      <c r="B1134" s="171" t="s">
        <v>991</v>
      </c>
      <c r="C1134" s="169">
        <v>215150251</v>
      </c>
      <c r="D1134" s="178" t="s">
        <v>2179</v>
      </c>
      <c r="E1134" s="121">
        <v>7535</v>
      </c>
      <c r="F1134" s="120">
        <v>0</v>
      </c>
    </row>
    <row r="1135" spans="1:6" ht="12">
      <c r="A1135" s="190">
        <v>240314</v>
      </c>
      <c r="B1135" s="171" t="s">
        <v>991</v>
      </c>
      <c r="C1135" s="169">
        <v>217050270</v>
      </c>
      <c r="D1135" s="178" t="s">
        <v>2180</v>
      </c>
      <c r="E1135" s="121">
        <v>4824</v>
      </c>
      <c r="F1135" s="120">
        <v>0</v>
      </c>
    </row>
    <row r="1136" spans="1:6" ht="12">
      <c r="A1136" s="190">
        <v>240314</v>
      </c>
      <c r="B1136" s="171" t="s">
        <v>991</v>
      </c>
      <c r="C1136" s="169">
        <v>218750287</v>
      </c>
      <c r="D1136" s="178" t="s">
        <v>2181</v>
      </c>
      <c r="E1136" s="121">
        <v>12192</v>
      </c>
      <c r="F1136" s="120">
        <v>0</v>
      </c>
    </row>
    <row r="1137" spans="1:6" ht="12">
      <c r="A1137" s="190">
        <v>240314</v>
      </c>
      <c r="B1137" s="171" t="s">
        <v>991</v>
      </c>
      <c r="C1137" s="169">
        <v>211350313</v>
      </c>
      <c r="D1137" s="178" t="s">
        <v>1179</v>
      </c>
      <c r="E1137" s="121">
        <v>64085</v>
      </c>
      <c r="F1137" s="120">
        <v>0</v>
      </c>
    </row>
    <row r="1138" spans="1:6" ht="12">
      <c r="A1138" s="190">
        <v>240314</v>
      </c>
      <c r="B1138" s="171" t="s">
        <v>991</v>
      </c>
      <c r="C1138" s="169">
        <v>211850318</v>
      </c>
      <c r="D1138" s="178" t="s">
        <v>2156</v>
      </c>
      <c r="E1138" s="121">
        <v>12635</v>
      </c>
      <c r="F1138" s="120">
        <v>0</v>
      </c>
    </row>
    <row r="1139" spans="1:6" ht="12">
      <c r="A1139" s="190">
        <v>240314</v>
      </c>
      <c r="B1139" s="171" t="s">
        <v>991</v>
      </c>
      <c r="C1139" s="169">
        <v>212550325</v>
      </c>
      <c r="D1139" s="178" t="s">
        <v>2182</v>
      </c>
      <c r="E1139" s="121">
        <v>11790</v>
      </c>
      <c r="F1139" s="120">
        <v>0</v>
      </c>
    </row>
    <row r="1140" spans="1:6" ht="12">
      <c r="A1140" s="190">
        <v>240314</v>
      </c>
      <c r="B1140" s="171" t="s">
        <v>991</v>
      </c>
      <c r="C1140" s="169">
        <v>213050330</v>
      </c>
      <c r="D1140" s="178" t="s">
        <v>2183</v>
      </c>
      <c r="E1140" s="121">
        <v>14469</v>
      </c>
      <c r="F1140" s="120">
        <v>0</v>
      </c>
    </row>
    <row r="1141" spans="1:6" ht="12">
      <c r="A1141" s="190">
        <v>240314</v>
      </c>
      <c r="B1141" s="171" t="s">
        <v>991</v>
      </c>
      <c r="C1141" s="169">
        <v>215050350</v>
      </c>
      <c r="D1141" s="178" t="s">
        <v>2184</v>
      </c>
      <c r="E1141" s="121">
        <v>28053</v>
      </c>
      <c r="F1141" s="120">
        <v>0</v>
      </c>
    </row>
    <row r="1142" spans="1:6" ht="12">
      <c r="A1142" s="190">
        <v>240314</v>
      </c>
      <c r="B1142" s="171" t="s">
        <v>991</v>
      </c>
      <c r="C1142" s="169">
        <v>217050370</v>
      </c>
      <c r="D1142" s="178" t="s">
        <v>2185</v>
      </c>
      <c r="E1142" s="121">
        <v>13026</v>
      </c>
      <c r="F1142" s="120">
        <v>0</v>
      </c>
    </row>
    <row r="1143" spans="1:6" ht="12">
      <c r="A1143" s="190">
        <v>240314</v>
      </c>
      <c r="B1143" s="171" t="s">
        <v>991</v>
      </c>
      <c r="C1143" s="169">
        <v>210050400</v>
      </c>
      <c r="D1143" s="178" t="s">
        <v>2186</v>
      </c>
      <c r="E1143" s="121">
        <v>11890</v>
      </c>
      <c r="F1143" s="120">
        <v>0</v>
      </c>
    </row>
    <row r="1144" spans="1:6" ht="12">
      <c r="A1144" s="190">
        <v>240314</v>
      </c>
      <c r="B1144" s="171" t="s">
        <v>991</v>
      </c>
      <c r="C1144" s="169">
        <v>215050450</v>
      </c>
      <c r="D1144" s="178" t="s">
        <v>2187</v>
      </c>
      <c r="E1144" s="121">
        <v>15357</v>
      </c>
      <c r="F1144" s="120">
        <v>0</v>
      </c>
    </row>
    <row r="1145" spans="1:6" ht="12">
      <c r="A1145" s="190">
        <v>240314</v>
      </c>
      <c r="B1145" s="171" t="s">
        <v>991</v>
      </c>
      <c r="C1145" s="169">
        <v>216850568</v>
      </c>
      <c r="D1145" s="178" t="s">
        <v>2188</v>
      </c>
      <c r="E1145" s="121">
        <v>25263</v>
      </c>
      <c r="F1145" s="120">
        <v>0</v>
      </c>
    </row>
    <row r="1146" spans="1:6" ht="12">
      <c r="A1146" s="190">
        <v>240314</v>
      </c>
      <c r="B1146" s="171" t="s">
        <v>991</v>
      </c>
      <c r="C1146" s="169">
        <v>217350573</v>
      </c>
      <c r="D1146" s="178" t="s">
        <v>2189</v>
      </c>
      <c r="E1146" s="121">
        <v>34668</v>
      </c>
      <c r="F1146" s="120">
        <v>0</v>
      </c>
    </row>
    <row r="1147" spans="1:6" ht="12">
      <c r="A1147" s="190">
        <v>240314</v>
      </c>
      <c r="B1147" s="171" t="s">
        <v>991</v>
      </c>
      <c r="C1147" s="169">
        <v>217750577</v>
      </c>
      <c r="D1147" s="178" t="s">
        <v>2190</v>
      </c>
      <c r="E1147" s="121">
        <v>12012</v>
      </c>
      <c r="F1147" s="120">
        <v>0</v>
      </c>
    </row>
    <row r="1148" spans="1:6" ht="12">
      <c r="A1148" s="190">
        <v>240314</v>
      </c>
      <c r="B1148" s="171" t="s">
        <v>991</v>
      </c>
      <c r="C1148" s="169">
        <v>219050590</v>
      </c>
      <c r="D1148" s="178" t="s">
        <v>1662</v>
      </c>
      <c r="E1148" s="121">
        <v>21223</v>
      </c>
      <c r="F1148" s="120">
        <v>0</v>
      </c>
    </row>
    <row r="1149" spans="1:6" ht="12">
      <c r="A1149" s="190">
        <v>240314</v>
      </c>
      <c r="B1149" s="171" t="s">
        <v>991</v>
      </c>
      <c r="C1149" s="169">
        <v>210650606</v>
      </c>
      <c r="D1149" s="178" t="s">
        <v>2191</v>
      </c>
      <c r="E1149" s="121">
        <v>14967</v>
      </c>
      <c r="F1149" s="120">
        <v>0</v>
      </c>
    </row>
    <row r="1150" spans="1:6" ht="12">
      <c r="A1150" s="190">
        <v>240314</v>
      </c>
      <c r="B1150" s="171" t="s">
        <v>991</v>
      </c>
      <c r="C1150" s="169">
        <v>218050680</v>
      </c>
      <c r="D1150" s="178" t="s">
        <v>2192</v>
      </c>
      <c r="E1150" s="121">
        <v>11364</v>
      </c>
      <c r="F1150" s="120">
        <v>0</v>
      </c>
    </row>
    <row r="1151" spans="1:6" ht="12">
      <c r="A1151" s="190">
        <v>240314</v>
      </c>
      <c r="B1151" s="171" t="s">
        <v>991</v>
      </c>
      <c r="C1151" s="169">
        <v>218350683</v>
      </c>
      <c r="D1151" s="178" t="s">
        <v>2193</v>
      </c>
      <c r="E1151" s="121">
        <v>10241</v>
      </c>
      <c r="F1151" s="120">
        <v>0</v>
      </c>
    </row>
    <row r="1152" spans="1:6" ht="12">
      <c r="A1152" s="190">
        <v>240314</v>
      </c>
      <c r="B1152" s="171" t="s">
        <v>991</v>
      </c>
      <c r="C1152" s="169">
        <v>218650686</v>
      </c>
      <c r="D1152" s="178" t="s">
        <v>2194</v>
      </c>
      <c r="E1152" s="121">
        <v>1958</v>
      </c>
      <c r="F1152" s="120">
        <v>0</v>
      </c>
    </row>
    <row r="1153" spans="1:6" ht="12">
      <c r="A1153" s="190">
        <v>240314</v>
      </c>
      <c r="B1153" s="171" t="s">
        <v>991</v>
      </c>
      <c r="C1153" s="169">
        <v>218950689</v>
      </c>
      <c r="D1153" s="178" t="s">
        <v>1750</v>
      </c>
      <c r="E1153" s="121">
        <v>25820</v>
      </c>
      <c r="F1153" s="120">
        <v>0</v>
      </c>
    </row>
    <row r="1154" spans="1:6" ht="12">
      <c r="A1154" s="190">
        <v>240314</v>
      </c>
      <c r="B1154" s="171" t="s">
        <v>991</v>
      </c>
      <c r="C1154" s="169">
        <v>211150711</v>
      </c>
      <c r="D1154" s="178" t="s">
        <v>2195</v>
      </c>
      <c r="E1154" s="121">
        <v>34227</v>
      </c>
      <c r="F1154" s="120">
        <v>0</v>
      </c>
    </row>
    <row r="1155" spans="1:6" ht="12">
      <c r="A1155" s="190">
        <v>240314</v>
      </c>
      <c r="B1155" s="171" t="s">
        <v>991</v>
      </c>
      <c r="C1155" s="169">
        <v>211952019</v>
      </c>
      <c r="D1155" s="178" t="s">
        <v>1798</v>
      </c>
      <c r="E1155" s="121">
        <v>14575</v>
      </c>
      <c r="F1155" s="120">
        <v>0</v>
      </c>
    </row>
    <row r="1156" spans="1:6" ht="12">
      <c r="A1156" s="190">
        <v>240314</v>
      </c>
      <c r="B1156" s="171" t="s">
        <v>991</v>
      </c>
      <c r="C1156" s="169">
        <v>212252022</v>
      </c>
      <c r="D1156" s="178" t="s">
        <v>2196</v>
      </c>
      <c r="E1156" s="121">
        <v>8210</v>
      </c>
      <c r="F1156" s="120">
        <v>0</v>
      </c>
    </row>
    <row r="1157" spans="1:6" ht="12">
      <c r="A1157" s="190">
        <v>240314</v>
      </c>
      <c r="B1157" s="171" t="s">
        <v>991</v>
      </c>
      <c r="C1157" s="169">
        <v>213652036</v>
      </c>
      <c r="D1157" s="178" t="s">
        <v>2197</v>
      </c>
      <c r="E1157" s="121">
        <v>11639</v>
      </c>
      <c r="F1157" s="120">
        <v>0</v>
      </c>
    </row>
    <row r="1158" spans="1:6" ht="12">
      <c r="A1158" s="190">
        <v>240314</v>
      </c>
      <c r="B1158" s="171" t="s">
        <v>991</v>
      </c>
      <c r="C1158" s="169">
        <v>215152051</v>
      </c>
      <c r="D1158" s="178" t="s">
        <v>2198</v>
      </c>
      <c r="E1158" s="121">
        <v>10994</v>
      </c>
      <c r="F1158" s="120">
        <v>0</v>
      </c>
    </row>
    <row r="1159" spans="1:6" ht="12">
      <c r="A1159" s="190">
        <v>240314</v>
      </c>
      <c r="B1159" s="171" t="s">
        <v>991</v>
      </c>
      <c r="C1159" s="169">
        <v>217952079</v>
      </c>
      <c r="D1159" s="178" t="s">
        <v>2199</v>
      </c>
      <c r="E1159" s="121">
        <v>81803</v>
      </c>
      <c r="F1159" s="120">
        <v>0</v>
      </c>
    </row>
    <row r="1160" spans="1:6" ht="12">
      <c r="A1160" s="190">
        <v>240314</v>
      </c>
      <c r="B1160" s="171" t="s">
        <v>991</v>
      </c>
      <c r="C1160" s="169">
        <v>218352083</v>
      </c>
      <c r="D1160" s="178" t="s">
        <v>1437</v>
      </c>
      <c r="E1160" s="121">
        <v>9553</v>
      </c>
      <c r="F1160" s="120">
        <v>0</v>
      </c>
    </row>
    <row r="1161" spans="1:6" ht="12">
      <c r="A1161" s="190">
        <v>240314</v>
      </c>
      <c r="B1161" s="171" t="s">
        <v>991</v>
      </c>
      <c r="C1161" s="169">
        <v>211052110</v>
      </c>
      <c r="D1161" s="178" t="s">
        <v>2200</v>
      </c>
      <c r="E1161" s="121">
        <v>26565</v>
      </c>
      <c r="F1161" s="120">
        <v>0</v>
      </c>
    </row>
    <row r="1162" spans="1:6" ht="12">
      <c r="A1162" s="190">
        <v>240314</v>
      </c>
      <c r="B1162" s="171" t="s">
        <v>991</v>
      </c>
      <c r="C1162" s="169">
        <v>210352203</v>
      </c>
      <c r="D1162" s="178" t="s">
        <v>2201</v>
      </c>
      <c r="E1162" s="121">
        <v>12670</v>
      </c>
      <c r="F1162" s="120">
        <v>0</v>
      </c>
    </row>
    <row r="1163" spans="1:6" ht="12">
      <c r="A1163" s="190">
        <v>240314</v>
      </c>
      <c r="B1163" s="171" t="s">
        <v>991</v>
      </c>
      <c r="C1163" s="169">
        <v>210752207</v>
      </c>
      <c r="D1163" s="178" t="s">
        <v>2202</v>
      </c>
      <c r="E1163" s="121">
        <v>11405</v>
      </c>
      <c r="F1163" s="120">
        <v>0</v>
      </c>
    </row>
    <row r="1164" spans="1:6" ht="12">
      <c r="A1164" s="190">
        <v>240314</v>
      </c>
      <c r="B1164" s="171" t="s">
        <v>991</v>
      </c>
      <c r="C1164" s="169">
        <v>211052210</v>
      </c>
      <c r="D1164" s="178" t="s">
        <v>2203</v>
      </c>
      <c r="E1164" s="121">
        <v>7524</v>
      </c>
      <c r="F1164" s="120">
        <v>0</v>
      </c>
    </row>
    <row r="1165" spans="1:6" ht="12">
      <c r="A1165" s="190">
        <v>240314</v>
      </c>
      <c r="B1165" s="171" t="s">
        <v>991</v>
      </c>
      <c r="C1165" s="169">
        <v>211552215</v>
      </c>
      <c r="D1165" s="178" t="s">
        <v>1001</v>
      </c>
      <c r="E1165" s="121">
        <v>21397</v>
      </c>
      <c r="F1165" s="120">
        <v>0</v>
      </c>
    </row>
    <row r="1166" spans="1:6" ht="12">
      <c r="A1166" s="190">
        <v>240314</v>
      </c>
      <c r="B1166" s="171" t="s">
        <v>991</v>
      </c>
      <c r="C1166" s="169">
        <v>212452224</v>
      </c>
      <c r="D1166" s="178" t="s">
        <v>2204</v>
      </c>
      <c r="E1166" s="121">
        <v>9387</v>
      </c>
      <c r="F1166" s="120">
        <v>0</v>
      </c>
    </row>
    <row r="1167" spans="1:6" ht="12">
      <c r="A1167" s="190">
        <v>240314</v>
      </c>
      <c r="B1167" s="171" t="s">
        <v>991</v>
      </c>
      <c r="C1167" s="169">
        <v>212752227</v>
      </c>
      <c r="D1167" s="178" t="s">
        <v>2205</v>
      </c>
      <c r="E1167" s="121">
        <v>48267</v>
      </c>
      <c r="F1167" s="120">
        <v>0</v>
      </c>
    </row>
    <row r="1168" spans="1:6" ht="12">
      <c r="A1168" s="190">
        <v>240314</v>
      </c>
      <c r="B1168" s="171" t="s">
        <v>991</v>
      </c>
      <c r="C1168" s="169">
        <v>213352233</v>
      </c>
      <c r="D1168" s="178" t="s">
        <v>2206</v>
      </c>
      <c r="E1168" s="121">
        <v>11511</v>
      </c>
      <c r="F1168" s="120">
        <v>0</v>
      </c>
    </row>
    <row r="1169" spans="1:6" ht="12">
      <c r="A1169" s="190">
        <v>240314</v>
      </c>
      <c r="B1169" s="171" t="s">
        <v>991</v>
      </c>
      <c r="C1169" s="169">
        <v>214052240</v>
      </c>
      <c r="D1169" s="178" t="s">
        <v>2207</v>
      </c>
      <c r="E1169" s="121">
        <v>13781</v>
      </c>
      <c r="F1169" s="120">
        <v>0</v>
      </c>
    </row>
    <row r="1170" spans="1:6" ht="12">
      <c r="A1170" s="190">
        <v>240314</v>
      </c>
      <c r="B1170" s="171" t="s">
        <v>991</v>
      </c>
      <c r="C1170" s="169">
        <v>215052250</v>
      </c>
      <c r="D1170" s="178" t="s">
        <v>2208</v>
      </c>
      <c r="E1170" s="121">
        <v>57612</v>
      </c>
      <c r="F1170" s="120">
        <v>0</v>
      </c>
    </row>
    <row r="1171" spans="1:6" ht="12">
      <c r="A1171" s="190">
        <v>240314</v>
      </c>
      <c r="B1171" s="171" t="s">
        <v>991</v>
      </c>
      <c r="C1171" s="169">
        <v>215452254</v>
      </c>
      <c r="D1171" s="178" t="s">
        <v>2209</v>
      </c>
      <c r="E1171" s="121">
        <v>8543</v>
      </c>
      <c r="F1171" s="120">
        <v>0</v>
      </c>
    </row>
    <row r="1172" spans="1:6" ht="12">
      <c r="A1172" s="190">
        <v>240314</v>
      </c>
      <c r="B1172" s="171" t="s">
        <v>991</v>
      </c>
      <c r="C1172" s="169">
        <v>215652256</v>
      </c>
      <c r="D1172" s="178" t="s">
        <v>2210</v>
      </c>
      <c r="E1172" s="121">
        <v>16602</v>
      </c>
      <c r="F1172" s="120">
        <v>0</v>
      </c>
    </row>
    <row r="1173" spans="1:6" ht="12">
      <c r="A1173" s="190">
        <v>240314</v>
      </c>
      <c r="B1173" s="171" t="s">
        <v>991</v>
      </c>
      <c r="C1173" s="169">
        <v>215852258</v>
      </c>
      <c r="D1173" s="178" t="s">
        <v>2211</v>
      </c>
      <c r="E1173" s="121">
        <v>21538</v>
      </c>
      <c r="F1173" s="120">
        <v>0</v>
      </c>
    </row>
    <row r="1174" spans="1:6" ht="12">
      <c r="A1174" s="190">
        <v>240314</v>
      </c>
      <c r="B1174" s="171" t="s">
        <v>991</v>
      </c>
      <c r="C1174" s="169">
        <v>216052260</v>
      </c>
      <c r="D1174" s="178" t="s">
        <v>1680</v>
      </c>
      <c r="E1174" s="121">
        <v>19933</v>
      </c>
      <c r="F1174" s="120">
        <v>0</v>
      </c>
    </row>
    <row r="1175" spans="1:6" ht="12">
      <c r="A1175" s="190">
        <v>240314</v>
      </c>
      <c r="B1175" s="171" t="s">
        <v>991</v>
      </c>
      <c r="C1175" s="169">
        <v>218752287</v>
      </c>
      <c r="D1175" s="178" t="s">
        <v>2212</v>
      </c>
      <c r="E1175" s="121">
        <v>6550</v>
      </c>
      <c r="F1175" s="120">
        <v>0</v>
      </c>
    </row>
    <row r="1176" spans="1:6" ht="12">
      <c r="A1176" s="190">
        <v>240314</v>
      </c>
      <c r="B1176" s="171" t="s">
        <v>991</v>
      </c>
      <c r="C1176" s="169">
        <v>211752317</v>
      </c>
      <c r="D1176" s="178" t="s">
        <v>2213</v>
      </c>
      <c r="E1176" s="121">
        <v>24895</v>
      </c>
      <c r="F1176" s="120">
        <v>0</v>
      </c>
    </row>
    <row r="1177" spans="1:6" ht="12">
      <c r="A1177" s="190">
        <v>240314</v>
      </c>
      <c r="B1177" s="171" t="s">
        <v>991</v>
      </c>
      <c r="C1177" s="169">
        <v>212052320</v>
      </c>
      <c r="D1177" s="178" t="s">
        <v>2214</v>
      </c>
      <c r="E1177" s="121">
        <v>18911</v>
      </c>
      <c r="F1177" s="120">
        <v>0</v>
      </c>
    </row>
    <row r="1178" spans="1:6" ht="12">
      <c r="A1178" s="190">
        <v>240314</v>
      </c>
      <c r="B1178" s="171" t="s">
        <v>991</v>
      </c>
      <c r="C1178" s="169">
        <v>212352323</v>
      </c>
      <c r="D1178" s="178" t="s">
        <v>2215</v>
      </c>
      <c r="E1178" s="121">
        <v>7796</v>
      </c>
      <c r="F1178" s="120">
        <v>0</v>
      </c>
    </row>
    <row r="1179" spans="1:6" ht="12">
      <c r="A1179" s="190">
        <v>240314</v>
      </c>
      <c r="B1179" s="171" t="s">
        <v>991</v>
      </c>
      <c r="C1179" s="169">
        <v>215252352</v>
      </c>
      <c r="D1179" s="178" t="s">
        <v>2216</v>
      </c>
      <c r="E1179" s="121">
        <v>9245</v>
      </c>
      <c r="F1179" s="120">
        <v>0</v>
      </c>
    </row>
    <row r="1180" spans="1:6" ht="12">
      <c r="A1180" s="190">
        <v>240314</v>
      </c>
      <c r="B1180" s="171" t="s">
        <v>991</v>
      </c>
      <c r="C1180" s="169">
        <v>215452354</v>
      </c>
      <c r="D1180" s="178" t="s">
        <v>2217</v>
      </c>
      <c r="E1180" s="121">
        <v>10850</v>
      </c>
      <c r="F1180" s="120">
        <v>0</v>
      </c>
    </row>
    <row r="1181" spans="1:6" ht="12">
      <c r="A1181" s="190">
        <v>240314</v>
      </c>
      <c r="B1181" s="171" t="s">
        <v>991</v>
      </c>
      <c r="C1181" s="169">
        <v>215652356</v>
      </c>
      <c r="D1181" s="178" t="s">
        <v>2218</v>
      </c>
      <c r="E1181" s="121">
        <v>113355</v>
      </c>
      <c r="F1181" s="120">
        <v>0</v>
      </c>
    </row>
    <row r="1182" spans="1:6" ht="12">
      <c r="A1182" s="190">
        <v>240314</v>
      </c>
      <c r="B1182" s="171" t="s">
        <v>991</v>
      </c>
      <c r="C1182" s="169">
        <v>217852378</v>
      </c>
      <c r="D1182" s="178" t="s">
        <v>2219</v>
      </c>
      <c r="E1182" s="121">
        <v>23434</v>
      </c>
      <c r="F1182" s="120">
        <v>0</v>
      </c>
    </row>
    <row r="1183" spans="1:6" ht="12">
      <c r="A1183" s="190">
        <v>240314</v>
      </c>
      <c r="B1183" s="171" t="s">
        <v>991</v>
      </c>
      <c r="C1183" s="169">
        <v>218152381</v>
      </c>
      <c r="D1183" s="178" t="s">
        <v>2220</v>
      </c>
      <c r="E1183" s="121">
        <v>16263</v>
      </c>
      <c r="F1183" s="120">
        <v>0</v>
      </c>
    </row>
    <row r="1184" spans="1:6" ht="12">
      <c r="A1184" s="190">
        <v>240314</v>
      </c>
      <c r="B1184" s="171" t="s">
        <v>991</v>
      </c>
      <c r="C1184" s="169">
        <v>218552385</v>
      </c>
      <c r="D1184" s="178" t="s">
        <v>2221</v>
      </c>
      <c r="E1184" s="121">
        <v>7641</v>
      </c>
      <c r="F1184" s="120">
        <v>0</v>
      </c>
    </row>
    <row r="1185" spans="1:6" ht="12">
      <c r="A1185" s="190">
        <v>240314</v>
      </c>
      <c r="B1185" s="171" t="s">
        <v>991</v>
      </c>
      <c r="C1185" s="169">
        <v>219052390</v>
      </c>
      <c r="D1185" s="178" t="s">
        <v>2222</v>
      </c>
      <c r="E1185" s="121">
        <v>22888</v>
      </c>
      <c r="F1185" s="120">
        <v>0</v>
      </c>
    </row>
    <row r="1186" spans="1:6" ht="12">
      <c r="A1186" s="190">
        <v>240314</v>
      </c>
      <c r="B1186" s="171" t="s">
        <v>991</v>
      </c>
      <c r="C1186" s="169">
        <v>219952399</v>
      </c>
      <c r="D1186" s="178" t="s">
        <v>1202</v>
      </c>
      <c r="E1186" s="121">
        <v>29843</v>
      </c>
      <c r="F1186" s="120">
        <v>0</v>
      </c>
    </row>
    <row r="1187" spans="1:6" ht="12">
      <c r="A1187" s="190">
        <v>240314</v>
      </c>
      <c r="B1187" s="171" t="s">
        <v>991</v>
      </c>
      <c r="C1187" s="169">
        <v>210552405</v>
      </c>
      <c r="D1187" s="178" t="s">
        <v>2223</v>
      </c>
      <c r="E1187" s="121">
        <v>13978</v>
      </c>
      <c r="F1187" s="120">
        <v>0</v>
      </c>
    </row>
    <row r="1188" spans="1:6" ht="12">
      <c r="A1188" s="190">
        <v>240314</v>
      </c>
      <c r="B1188" s="171" t="s">
        <v>991</v>
      </c>
      <c r="C1188" s="169">
        <v>211152411</v>
      </c>
      <c r="D1188" s="178" t="s">
        <v>2224</v>
      </c>
      <c r="E1188" s="121">
        <v>15419</v>
      </c>
      <c r="F1188" s="120">
        <v>0</v>
      </c>
    </row>
    <row r="1189" spans="1:6" ht="12">
      <c r="A1189" s="190">
        <v>240314</v>
      </c>
      <c r="B1189" s="171" t="s">
        <v>991</v>
      </c>
      <c r="C1189" s="169">
        <v>211852418</v>
      </c>
      <c r="D1189" s="178" t="s">
        <v>2225</v>
      </c>
      <c r="E1189" s="121">
        <v>16306</v>
      </c>
      <c r="F1189" s="120">
        <v>0</v>
      </c>
    </row>
    <row r="1190" spans="1:6" ht="12">
      <c r="A1190" s="190">
        <v>240314</v>
      </c>
      <c r="B1190" s="171" t="s">
        <v>991</v>
      </c>
      <c r="C1190" s="169">
        <v>212752427</v>
      </c>
      <c r="D1190" s="178" t="s">
        <v>2226</v>
      </c>
      <c r="E1190" s="121">
        <v>29915</v>
      </c>
      <c r="F1190" s="120">
        <v>0</v>
      </c>
    </row>
    <row r="1191" spans="1:6" ht="12">
      <c r="A1191" s="190">
        <v>240314</v>
      </c>
      <c r="B1191" s="171" t="s">
        <v>991</v>
      </c>
      <c r="C1191" s="169">
        <v>213552435</v>
      </c>
      <c r="D1191" s="178" t="s">
        <v>2227</v>
      </c>
      <c r="E1191" s="121">
        <v>8932</v>
      </c>
      <c r="F1191" s="120">
        <v>0</v>
      </c>
    </row>
    <row r="1192" spans="1:6" ht="12">
      <c r="A1192" s="190">
        <v>240314</v>
      </c>
      <c r="B1192" s="171" t="s">
        <v>991</v>
      </c>
      <c r="C1192" s="169">
        <v>217352473</v>
      </c>
      <c r="D1192" s="178" t="s">
        <v>1899</v>
      </c>
      <c r="E1192" s="121">
        <v>21171</v>
      </c>
      <c r="F1192" s="120">
        <v>0</v>
      </c>
    </row>
    <row r="1193" spans="1:6" ht="12">
      <c r="A1193" s="190">
        <v>240314</v>
      </c>
      <c r="B1193" s="171" t="s">
        <v>991</v>
      </c>
      <c r="C1193" s="169">
        <v>218052480</v>
      </c>
      <c r="D1193" s="178" t="s">
        <v>1006</v>
      </c>
      <c r="E1193" s="121">
        <v>3427</v>
      </c>
      <c r="F1193" s="120">
        <v>0</v>
      </c>
    </row>
    <row r="1194" spans="1:6" ht="12">
      <c r="A1194" s="190">
        <v>240314</v>
      </c>
      <c r="B1194" s="171" t="s">
        <v>991</v>
      </c>
      <c r="C1194" s="169">
        <v>219052490</v>
      </c>
      <c r="D1194" s="178" t="s">
        <v>2228</v>
      </c>
      <c r="E1194" s="121">
        <v>40328</v>
      </c>
      <c r="F1194" s="120">
        <v>0</v>
      </c>
    </row>
    <row r="1195" spans="1:6" ht="12">
      <c r="A1195" s="190">
        <v>240314</v>
      </c>
      <c r="B1195" s="171" t="s">
        <v>991</v>
      </c>
      <c r="C1195" s="169">
        <v>210652506</v>
      </c>
      <c r="D1195" s="178" t="s">
        <v>2229</v>
      </c>
      <c r="E1195" s="121">
        <v>7262</v>
      </c>
      <c r="F1195" s="120">
        <v>0</v>
      </c>
    </row>
    <row r="1196" spans="1:6" ht="12">
      <c r="A1196" s="190">
        <v>240314</v>
      </c>
      <c r="B1196" s="171" t="s">
        <v>991</v>
      </c>
      <c r="C1196" s="169">
        <v>212052520</v>
      </c>
      <c r="D1196" s="178" t="s">
        <v>2230</v>
      </c>
      <c r="E1196" s="121">
        <v>15041</v>
      </c>
      <c r="F1196" s="120">
        <v>0</v>
      </c>
    </row>
    <row r="1197" spans="1:6" ht="12">
      <c r="A1197" s="190">
        <v>240314</v>
      </c>
      <c r="B1197" s="171" t="s">
        <v>991</v>
      </c>
      <c r="C1197" s="169">
        <v>214052540</v>
      </c>
      <c r="D1197" s="178" t="s">
        <v>2231</v>
      </c>
      <c r="E1197" s="121">
        <v>17228</v>
      </c>
      <c r="F1197" s="120">
        <v>0</v>
      </c>
    </row>
    <row r="1198" spans="1:6" ht="12">
      <c r="A1198" s="190">
        <v>240314</v>
      </c>
      <c r="B1198" s="171" t="s">
        <v>991</v>
      </c>
      <c r="C1198" s="169">
        <v>216052560</v>
      </c>
      <c r="D1198" s="178" t="s">
        <v>2232</v>
      </c>
      <c r="E1198" s="121">
        <v>13180</v>
      </c>
      <c r="F1198" s="120">
        <v>0</v>
      </c>
    </row>
    <row r="1199" spans="1:6" ht="12">
      <c r="A1199" s="190">
        <v>240314</v>
      </c>
      <c r="B1199" s="171" t="s">
        <v>991</v>
      </c>
      <c r="C1199" s="169">
        <v>216552565</v>
      </c>
      <c r="D1199" s="178" t="s">
        <v>2233</v>
      </c>
      <c r="E1199" s="121">
        <v>6370</v>
      </c>
      <c r="F1199" s="120">
        <v>0</v>
      </c>
    </row>
    <row r="1200" spans="1:6" ht="12">
      <c r="A1200" s="190">
        <v>240314</v>
      </c>
      <c r="B1200" s="171" t="s">
        <v>991</v>
      </c>
      <c r="C1200" s="169">
        <v>217352573</v>
      </c>
      <c r="D1200" s="178" t="s">
        <v>2234</v>
      </c>
      <c r="E1200" s="121">
        <v>11365</v>
      </c>
      <c r="F1200" s="120">
        <v>0</v>
      </c>
    </row>
    <row r="1201" spans="1:6" ht="12">
      <c r="A1201" s="190">
        <v>240314</v>
      </c>
      <c r="B1201" s="171" t="s">
        <v>991</v>
      </c>
      <c r="C1201" s="169">
        <v>218552585</v>
      </c>
      <c r="D1201" s="178" t="s">
        <v>2235</v>
      </c>
      <c r="E1201" s="121">
        <v>19160</v>
      </c>
      <c r="F1201" s="120">
        <v>0</v>
      </c>
    </row>
    <row r="1202" spans="1:6" ht="12">
      <c r="A1202" s="190">
        <v>240314</v>
      </c>
      <c r="B1202" s="171" t="s">
        <v>991</v>
      </c>
      <c r="C1202" s="169">
        <v>211252612</v>
      </c>
      <c r="D1202" s="178" t="s">
        <v>1931</v>
      </c>
      <c r="E1202" s="121">
        <v>26755</v>
      </c>
      <c r="F1202" s="120">
        <v>0</v>
      </c>
    </row>
    <row r="1203" spans="1:6" ht="12">
      <c r="A1203" s="190">
        <v>240314</v>
      </c>
      <c r="B1203" s="171" t="s">
        <v>991</v>
      </c>
      <c r="C1203" s="169">
        <v>212152621</v>
      </c>
      <c r="D1203" s="178" t="s">
        <v>2236</v>
      </c>
      <c r="E1203" s="121">
        <v>41570</v>
      </c>
      <c r="F1203" s="120">
        <v>0</v>
      </c>
    </row>
    <row r="1204" spans="1:6" ht="12">
      <c r="A1204" s="190">
        <v>240314</v>
      </c>
      <c r="B1204" s="171" t="s">
        <v>991</v>
      </c>
      <c r="C1204" s="169">
        <v>217852678</v>
      </c>
      <c r="D1204" s="178" t="s">
        <v>2237</v>
      </c>
      <c r="E1204" s="121">
        <v>44376</v>
      </c>
      <c r="F1204" s="120">
        <v>0</v>
      </c>
    </row>
    <row r="1205" spans="1:6" ht="12">
      <c r="A1205" s="190">
        <v>240314</v>
      </c>
      <c r="B1205" s="171" t="s">
        <v>991</v>
      </c>
      <c r="C1205" s="169">
        <v>218352683</v>
      </c>
      <c r="D1205" s="178" t="s">
        <v>2238</v>
      </c>
      <c r="E1205" s="121">
        <v>23233</v>
      </c>
      <c r="F1205" s="120">
        <v>0</v>
      </c>
    </row>
    <row r="1206" spans="1:6" ht="12">
      <c r="A1206" s="190">
        <v>240314</v>
      </c>
      <c r="B1206" s="171" t="s">
        <v>991</v>
      </c>
      <c r="C1206" s="169">
        <v>218552685</v>
      </c>
      <c r="D1206" s="178" t="s">
        <v>1935</v>
      </c>
      <c r="E1206" s="121">
        <v>9669</v>
      </c>
      <c r="F1206" s="120">
        <v>0</v>
      </c>
    </row>
    <row r="1207" spans="1:6" ht="12">
      <c r="A1207" s="190">
        <v>240314</v>
      </c>
      <c r="B1207" s="171" t="s">
        <v>991</v>
      </c>
      <c r="C1207" s="169">
        <v>218752687</v>
      </c>
      <c r="D1207" s="178" t="s">
        <v>2239</v>
      </c>
      <c r="E1207" s="121">
        <v>21825</v>
      </c>
      <c r="F1207" s="120">
        <v>0</v>
      </c>
    </row>
    <row r="1208" spans="1:6" ht="12">
      <c r="A1208" s="190">
        <v>240314</v>
      </c>
      <c r="B1208" s="171" t="s">
        <v>991</v>
      </c>
      <c r="C1208" s="169">
        <v>219352693</v>
      </c>
      <c r="D1208" s="178" t="s">
        <v>1409</v>
      </c>
      <c r="E1208" s="121">
        <v>19370</v>
      </c>
      <c r="F1208" s="120">
        <v>0</v>
      </c>
    </row>
    <row r="1209" spans="1:6" ht="12">
      <c r="A1209" s="190">
        <v>240314</v>
      </c>
      <c r="B1209" s="171" t="s">
        <v>991</v>
      </c>
      <c r="C1209" s="169">
        <v>219452694</v>
      </c>
      <c r="D1209" s="178" t="s">
        <v>2240</v>
      </c>
      <c r="E1209" s="121">
        <v>7839</v>
      </c>
      <c r="F1209" s="120">
        <v>0</v>
      </c>
    </row>
    <row r="1210" spans="1:6" ht="12">
      <c r="A1210" s="190">
        <v>240314</v>
      </c>
      <c r="B1210" s="171" t="s">
        <v>991</v>
      </c>
      <c r="C1210" s="169">
        <v>219652696</v>
      </c>
      <c r="D1210" s="178" t="s">
        <v>1269</v>
      </c>
      <c r="E1210" s="121">
        <v>24966</v>
      </c>
      <c r="F1210" s="120">
        <v>0</v>
      </c>
    </row>
    <row r="1211" spans="1:6" ht="12">
      <c r="A1211" s="190">
        <v>240314</v>
      </c>
      <c r="B1211" s="171" t="s">
        <v>991</v>
      </c>
      <c r="C1211" s="169">
        <v>219952699</v>
      </c>
      <c r="D1211" s="178" t="s">
        <v>2241</v>
      </c>
      <c r="E1211" s="121">
        <v>13687</v>
      </c>
      <c r="F1211" s="120">
        <v>0</v>
      </c>
    </row>
    <row r="1212" spans="1:6" ht="12">
      <c r="A1212" s="190">
        <v>240314</v>
      </c>
      <c r="B1212" s="171" t="s">
        <v>991</v>
      </c>
      <c r="C1212" s="169">
        <v>212052720</v>
      </c>
      <c r="D1212" s="178" t="s">
        <v>2242</v>
      </c>
      <c r="E1212" s="121">
        <v>7290</v>
      </c>
      <c r="F1212" s="120">
        <v>0</v>
      </c>
    </row>
    <row r="1213" spans="1:6" ht="12">
      <c r="A1213" s="190">
        <v>240314</v>
      </c>
      <c r="B1213" s="171" t="s">
        <v>991</v>
      </c>
      <c r="C1213" s="169">
        <v>218652786</v>
      </c>
      <c r="D1213" s="178" t="s">
        <v>2243</v>
      </c>
      <c r="E1213" s="121">
        <v>21579</v>
      </c>
      <c r="F1213" s="120">
        <v>0</v>
      </c>
    </row>
    <row r="1214" spans="1:6" ht="12">
      <c r="A1214" s="190">
        <v>240314</v>
      </c>
      <c r="B1214" s="171" t="s">
        <v>991</v>
      </c>
      <c r="C1214" s="169">
        <v>218852788</v>
      </c>
      <c r="D1214" s="178" t="s">
        <v>2244</v>
      </c>
      <c r="E1214" s="121">
        <v>11460</v>
      </c>
      <c r="F1214" s="120">
        <v>0</v>
      </c>
    </row>
    <row r="1215" spans="1:6" ht="12">
      <c r="A1215" s="190">
        <v>240314</v>
      </c>
      <c r="B1215" s="171" t="s">
        <v>991</v>
      </c>
      <c r="C1215" s="169">
        <v>213852838</v>
      </c>
      <c r="D1215" s="178" t="s">
        <v>2245</v>
      </c>
      <c r="E1215" s="121">
        <v>53008</v>
      </c>
      <c r="F1215" s="120">
        <v>0</v>
      </c>
    </row>
    <row r="1216" spans="1:6" ht="12">
      <c r="A1216" s="190">
        <v>240314</v>
      </c>
      <c r="B1216" s="171" t="s">
        <v>991</v>
      </c>
      <c r="C1216" s="169">
        <v>218552885</v>
      </c>
      <c r="D1216" s="178" t="s">
        <v>2246</v>
      </c>
      <c r="E1216" s="121">
        <v>10885</v>
      </c>
      <c r="F1216" s="120">
        <v>0</v>
      </c>
    </row>
    <row r="1217" spans="1:6" ht="12">
      <c r="A1217" s="190">
        <v>240314</v>
      </c>
      <c r="B1217" s="171" t="s">
        <v>991</v>
      </c>
      <c r="C1217" s="169">
        <v>210354003</v>
      </c>
      <c r="D1217" s="178" t="s">
        <v>2247</v>
      </c>
      <c r="E1217" s="121">
        <v>48122</v>
      </c>
      <c r="F1217" s="120">
        <v>0</v>
      </c>
    </row>
    <row r="1218" spans="1:6" ht="12">
      <c r="A1218" s="190">
        <v>240314</v>
      </c>
      <c r="B1218" s="171" t="s">
        <v>991</v>
      </c>
      <c r="C1218" s="169">
        <v>215154051</v>
      </c>
      <c r="D1218" s="178" t="s">
        <v>2248</v>
      </c>
      <c r="E1218" s="121">
        <v>12680</v>
      </c>
      <c r="F1218" s="120">
        <v>0</v>
      </c>
    </row>
    <row r="1219" spans="1:6" ht="12">
      <c r="A1219" s="190">
        <v>240314</v>
      </c>
      <c r="B1219" s="171" t="s">
        <v>991</v>
      </c>
      <c r="C1219" s="169">
        <v>219954099</v>
      </c>
      <c r="D1219" s="178" t="s">
        <v>2249</v>
      </c>
      <c r="E1219" s="121">
        <v>9567</v>
      </c>
      <c r="F1219" s="120">
        <v>0</v>
      </c>
    </row>
    <row r="1220" spans="1:6" ht="12">
      <c r="A1220" s="190">
        <v>240314</v>
      </c>
      <c r="B1220" s="171" t="s">
        <v>991</v>
      </c>
      <c r="C1220" s="169">
        <v>210954109</v>
      </c>
      <c r="D1220" s="178" t="s">
        <v>2250</v>
      </c>
      <c r="E1220" s="121">
        <v>9429</v>
      </c>
      <c r="F1220" s="120">
        <v>0</v>
      </c>
    </row>
    <row r="1221" spans="1:6" ht="12">
      <c r="A1221" s="190">
        <v>240314</v>
      </c>
      <c r="B1221" s="171" t="s">
        <v>991</v>
      </c>
      <c r="C1221" s="169">
        <v>212554125</v>
      </c>
      <c r="D1221" s="178" t="s">
        <v>2251</v>
      </c>
      <c r="E1221" s="121">
        <v>3260</v>
      </c>
      <c r="F1221" s="120">
        <v>0</v>
      </c>
    </row>
    <row r="1222" spans="1:6" ht="12">
      <c r="A1222" s="190">
        <v>240314</v>
      </c>
      <c r="B1222" s="171" t="s">
        <v>991</v>
      </c>
      <c r="C1222" s="169">
        <v>212854128</v>
      </c>
      <c r="D1222" s="178" t="s">
        <v>2252</v>
      </c>
      <c r="E1222" s="121">
        <v>14923</v>
      </c>
      <c r="F1222" s="120">
        <v>0</v>
      </c>
    </row>
    <row r="1223" spans="1:6" ht="12">
      <c r="A1223" s="190">
        <v>240314</v>
      </c>
      <c r="B1223" s="171" t="s">
        <v>991</v>
      </c>
      <c r="C1223" s="169">
        <v>217254172</v>
      </c>
      <c r="D1223" s="178" t="s">
        <v>2253</v>
      </c>
      <c r="E1223" s="121">
        <v>16556</v>
      </c>
      <c r="F1223" s="120">
        <v>0</v>
      </c>
    </row>
    <row r="1224" spans="1:6" ht="12">
      <c r="A1224" s="190">
        <v>240314</v>
      </c>
      <c r="B1224" s="171" t="s">
        <v>991</v>
      </c>
      <c r="C1224" s="169">
        <v>217454174</v>
      </c>
      <c r="D1224" s="178" t="s">
        <v>2254</v>
      </c>
      <c r="E1224" s="121">
        <v>11893</v>
      </c>
      <c r="F1224" s="120">
        <v>0</v>
      </c>
    </row>
    <row r="1225" spans="1:6" ht="12">
      <c r="A1225" s="190">
        <v>240314</v>
      </c>
      <c r="B1225" s="171" t="s">
        <v>991</v>
      </c>
      <c r="C1225" s="169">
        <v>210654206</v>
      </c>
      <c r="D1225" s="178" t="s">
        <v>2255</v>
      </c>
      <c r="E1225" s="121">
        <v>24685</v>
      </c>
      <c r="F1225" s="120">
        <v>0</v>
      </c>
    </row>
    <row r="1226" spans="1:6" ht="12">
      <c r="A1226" s="190">
        <v>240314</v>
      </c>
      <c r="B1226" s="171" t="s">
        <v>991</v>
      </c>
      <c r="C1226" s="169">
        <v>212354223</v>
      </c>
      <c r="D1226" s="178" t="s">
        <v>2256</v>
      </c>
      <c r="E1226" s="121">
        <v>12137</v>
      </c>
      <c r="F1226" s="120">
        <v>0</v>
      </c>
    </row>
    <row r="1227" spans="1:6" ht="12">
      <c r="A1227" s="190">
        <v>240314</v>
      </c>
      <c r="B1227" s="171" t="s">
        <v>991</v>
      </c>
      <c r="C1227" s="169">
        <v>213954239</v>
      </c>
      <c r="D1227" s="178" t="s">
        <v>2257</v>
      </c>
      <c r="E1227" s="121">
        <v>5294</v>
      </c>
      <c r="F1227" s="120">
        <v>0</v>
      </c>
    </row>
    <row r="1228" spans="1:6" ht="12">
      <c r="A1228" s="190">
        <v>240314</v>
      </c>
      <c r="B1228" s="171" t="s">
        <v>991</v>
      </c>
      <c r="C1228" s="169">
        <v>214554245</v>
      </c>
      <c r="D1228" s="178" t="s">
        <v>2031</v>
      </c>
      <c r="E1228" s="121">
        <v>20437</v>
      </c>
      <c r="F1228" s="120">
        <v>0</v>
      </c>
    </row>
    <row r="1229" spans="1:6" ht="12">
      <c r="A1229" s="190">
        <v>240314</v>
      </c>
      <c r="B1229" s="171" t="s">
        <v>991</v>
      </c>
      <c r="C1229" s="169">
        <v>215054250</v>
      </c>
      <c r="D1229" s="178" t="s">
        <v>2258</v>
      </c>
      <c r="E1229" s="121">
        <v>18266</v>
      </c>
      <c r="F1229" s="120">
        <v>0</v>
      </c>
    </row>
    <row r="1230" spans="1:6" ht="12">
      <c r="A1230" s="190">
        <v>240314</v>
      </c>
      <c r="B1230" s="171" t="s">
        <v>991</v>
      </c>
      <c r="C1230" s="169">
        <v>216154261</v>
      </c>
      <c r="D1230" s="178" t="s">
        <v>2259</v>
      </c>
      <c r="E1230" s="121">
        <v>26168</v>
      </c>
      <c r="F1230" s="120">
        <v>0</v>
      </c>
    </row>
    <row r="1231" spans="1:6" ht="12">
      <c r="A1231" s="190">
        <v>240314</v>
      </c>
      <c r="B1231" s="171" t="s">
        <v>991</v>
      </c>
      <c r="C1231" s="169">
        <v>211354313</v>
      </c>
      <c r="D1231" s="178" t="s">
        <v>2260</v>
      </c>
      <c r="E1231" s="121">
        <v>9028</v>
      </c>
      <c r="F1231" s="120">
        <v>0</v>
      </c>
    </row>
    <row r="1232" spans="1:6" ht="12">
      <c r="A1232" s="190">
        <v>240314</v>
      </c>
      <c r="B1232" s="171" t="s">
        <v>991</v>
      </c>
      <c r="C1232" s="169">
        <v>214454344</v>
      </c>
      <c r="D1232" s="178" t="s">
        <v>2261</v>
      </c>
      <c r="E1232" s="121">
        <v>18965</v>
      </c>
      <c r="F1232" s="120">
        <v>0</v>
      </c>
    </row>
    <row r="1233" spans="1:6" ht="12">
      <c r="A1233" s="190">
        <v>240314</v>
      </c>
      <c r="B1233" s="171" t="s">
        <v>991</v>
      </c>
      <c r="C1233" s="169">
        <v>214754347</v>
      </c>
      <c r="D1233" s="178" t="s">
        <v>2262</v>
      </c>
      <c r="E1233" s="121">
        <v>2962</v>
      </c>
      <c r="F1233" s="120">
        <v>0</v>
      </c>
    </row>
    <row r="1234" spans="1:6" ht="12">
      <c r="A1234" s="190">
        <v>240314</v>
      </c>
      <c r="B1234" s="171" t="s">
        <v>991</v>
      </c>
      <c r="C1234" s="169">
        <v>217754377</v>
      </c>
      <c r="D1234" s="178" t="s">
        <v>2263</v>
      </c>
      <c r="E1234" s="121">
        <v>7302</v>
      </c>
      <c r="F1234" s="120">
        <v>0</v>
      </c>
    </row>
    <row r="1235" spans="1:6" ht="12">
      <c r="A1235" s="190">
        <v>240314</v>
      </c>
      <c r="B1235" s="171" t="s">
        <v>991</v>
      </c>
      <c r="C1235" s="169">
        <v>218554385</v>
      </c>
      <c r="D1235" s="178" t="s">
        <v>2264</v>
      </c>
      <c r="E1235" s="121">
        <v>16632</v>
      </c>
      <c r="F1235" s="120">
        <v>0</v>
      </c>
    </row>
    <row r="1236" spans="1:6" ht="12">
      <c r="A1236" s="190">
        <v>240314</v>
      </c>
      <c r="B1236" s="171" t="s">
        <v>991</v>
      </c>
      <c r="C1236" s="169">
        <v>219854398</v>
      </c>
      <c r="D1236" s="178" t="s">
        <v>2265</v>
      </c>
      <c r="E1236" s="121">
        <v>11456</v>
      </c>
      <c r="F1236" s="120">
        <v>0</v>
      </c>
    </row>
    <row r="1237" spans="1:6" ht="12">
      <c r="A1237" s="190">
        <v>240314</v>
      </c>
      <c r="B1237" s="171" t="s">
        <v>991</v>
      </c>
      <c r="C1237" s="169">
        <v>210554405</v>
      </c>
      <c r="D1237" s="178" t="s">
        <v>2266</v>
      </c>
      <c r="E1237" s="121">
        <v>57175</v>
      </c>
      <c r="F1237" s="120">
        <v>0</v>
      </c>
    </row>
    <row r="1238" spans="1:6" ht="12">
      <c r="A1238" s="190">
        <v>240314</v>
      </c>
      <c r="B1238" s="171" t="s">
        <v>991</v>
      </c>
      <c r="C1238" s="169">
        <v>211854418</v>
      </c>
      <c r="D1238" s="178" t="s">
        <v>2267</v>
      </c>
      <c r="E1238" s="121">
        <v>4219</v>
      </c>
      <c r="F1238" s="120">
        <v>0</v>
      </c>
    </row>
    <row r="1239" spans="1:6" ht="12">
      <c r="A1239" s="190">
        <v>240314</v>
      </c>
      <c r="B1239" s="171" t="s">
        <v>991</v>
      </c>
      <c r="C1239" s="169">
        <v>218054480</v>
      </c>
      <c r="D1239" s="178" t="s">
        <v>2268</v>
      </c>
      <c r="E1239" s="121">
        <v>4633</v>
      </c>
      <c r="F1239" s="120">
        <v>0</v>
      </c>
    </row>
    <row r="1240" spans="1:6" ht="12">
      <c r="A1240" s="190">
        <v>240314</v>
      </c>
      <c r="B1240" s="171" t="s">
        <v>991</v>
      </c>
      <c r="C1240" s="169">
        <v>219854498</v>
      </c>
      <c r="D1240" s="178" t="s">
        <v>2269</v>
      </c>
      <c r="E1240" s="121">
        <v>110898</v>
      </c>
      <c r="F1240" s="120">
        <v>0</v>
      </c>
    </row>
    <row r="1241" spans="1:6" ht="12">
      <c r="A1241" s="190">
        <v>240314</v>
      </c>
      <c r="B1241" s="171" t="s">
        <v>991</v>
      </c>
      <c r="C1241" s="169">
        <v>211854518</v>
      </c>
      <c r="D1241" s="178" t="s">
        <v>2270</v>
      </c>
      <c r="E1241" s="121">
        <v>54178</v>
      </c>
      <c r="F1241" s="120">
        <v>0</v>
      </c>
    </row>
    <row r="1242" spans="1:6" ht="12">
      <c r="A1242" s="190">
        <v>240314</v>
      </c>
      <c r="B1242" s="171" t="s">
        <v>991</v>
      </c>
      <c r="C1242" s="169">
        <v>212054520</v>
      </c>
      <c r="D1242" s="178" t="s">
        <v>2271</v>
      </c>
      <c r="E1242" s="121">
        <v>5379</v>
      </c>
      <c r="F1242" s="120">
        <v>0</v>
      </c>
    </row>
    <row r="1243" spans="1:6" ht="12">
      <c r="A1243" s="190">
        <v>240314</v>
      </c>
      <c r="B1243" s="171" t="s">
        <v>991</v>
      </c>
      <c r="C1243" s="169">
        <v>215354553</v>
      </c>
      <c r="D1243" s="178" t="s">
        <v>2272</v>
      </c>
      <c r="E1243" s="121">
        <v>7186</v>
      </c>
      <c r="F1243" s="120">
        <v>0</v>
      </c>
    </row>
    <row r="1244" spans="1:6" ht="12">
      <c r="A1244" s="190">
        <v>240314</v>
      </c>
      <c r="B1244" s="171" t="s">
        <v>991</v>
      </c>
      <c r="C1244" s="169">
        <v>219954599</v>
      </c>
      <c r="D1244" s="178" t="s">
        <v>2273</v>
      </c>
      <c r="E1244" s="121">
        <v>5379</v>
      </c>
      <c r="F1244" s="120">
        <v>0</v>
      </c>
    </row>
    <row r="1245" spans="1:6" ht="12">
      <c r="A1245" s="190">
        <v>240314</v>
      </c>
      <c r="B1245" s="171" t="s">
        <v>991</v>
      </c>
      <c r="C1245" s="169">
        <v>216054660</v>
      </c>
      <c r="D1245" s="178" t="s">
        <v>2274</v>
      </c>
      <c r="E1245" s="121">
        <v>13106</v>
      </c>
      <c r="F1245" s="120">
        <v>0</v>
      </c>
    </row>
    <row r="1246" spans="1:6" ht="12">
      <c r="A1246" s="190">
        <v>240314</v>
      </c>
      <c r="B1246" s="171" t="s">
        <v>991</v>
      </c>
      <c r="C1246" s="169">
        <v>217054670</v>
      </c>
      <c r="D1246" s="178" t="s">
        <v>2275</v>
      </c>
      <c r="E1246" s="121">
        <v>21320</v>
      </c>
      <c r="F1246" s="120">
        <v>0</v>
      </c>
    </row>
    <row r="1247" spans="1:6" ht="12">
      <c r="A1247" s="190">
        <v>240314</v>
      </c>
      <c r="B1247" s="171" t="s">
        <v>991</v>
      </c>
      <c r="C1247" s="169">
        <v>217354673</v>
      </c>
      <c r="D1247" s="178" t="s">
        <v>1937</v>
      </c>
      <c r="E1247" s="121">
        <v>5218</v>
      </c>
      <c r="F1247" s="120">
        <v>0</v>
      </c>
    </row>
    <row r="1248" spans="1:6" ht="12">
      <c r="A1248" s="190">
        <v>240314</v>
      </c>
      <c r="B1248" s="171" t="s">
        <v>991</v>
      </c>
      <c r="C1248" s="170">
        <v>218054680</v>
      </c>
      <c r="D1248" s="178" t="s">
        <v>2276</v>
      </c>
      <c r="E1248" s="121">
        <v>4228</v>
      </c>
      <c r="F1248" s="120">
        <v>0</v>
      </c>
    </row>
    <row r="1249" spans="1:6" ht="12">
      <c r="A1249" s="190">
        <v>240314</v>
      </c>
      <c r="B1249" s="171" t="s">
        <v>991</v>
      </c>
      <c r="C1249" s="170">
        <v>212054720</v>
      </c>
      <c r="D1249" s="178" t="s">
        <v>2277</v>
      </c>
      <c r="E1249" s="121">
        <v>35839</v>
      </c>
      <c r="F1249" s="120">
        <v>0</v>
      </c>
    </row>
    <row r="1250" spans="1:6" ht="12">
      <c r="A1250" s="190">
        <v>240314</v>
      </c>
      <c r="B1250" s="171" t="s">
        <v>991</v>
      </c>
      <c r="C1250" s="170">
        <v>214354743</v>
      </c>
      <c r="D1250" s="178" t="s">
        <v>2278</v>
      </c>
      <c r="E1250" s="121">
        <v>7091</v>
      </c>
      <c r="F1250" s="120">
        <v>0</v>
      </c>
    </row>
    <row r="1251" spans="1:6" ht="12">
      <c r="A1251" s="190">
        <v>240314</v>
      </c>
      <c r="B1251" s="171" t="s">
        <v>991</v>
      </c>
      <c r="C1251" s="170">
        <v>210054800</v>
      </c>
      <c r="D1251" s="178" t="s">
        <v>2279</v>
      </c>
      <c r="E1251" s="121">
        <v>24540</v>
      </c>
      <c r="F1251" s="120">
        <v>0</v>
      </c>
    </row>
    <row r="1252" spans="1:6" ht="12">
      <c r="A1252" s="190">
        <v>240314</v>
      </c>
      <c r="B1252" s="171" t="s">
        <v>991</v>
      </c>
      <c r="C1252" s="170">
        <v>211054810</v>
      </c>
      <c r="D1252" s="178" t="s">
        <v>2280</v>
      </c>
      <c r="E1252" s="121">
        <v>53221</v>
      </c>
      <c r="F1252" s="120">
        <v>0</v>
      </c>
    </row>
    <row r="1253" spans="1:6" ht="12">
      <c r="A1253" s="190">
        <v>240314</v>
      </c>
      <c r="B1253" s="171" t="s">
        <v>991</v>
      </c>
      <c r="C1253" s="170">
        <v>212054820</v>
      </c>
      <c r="D1253" s="178" t="s">
        <v>1290</v>
      </c>
      <c r="E1253" s="121">
        <v>21109</v>
      </c>
      <c r="F1253" s="120">
        <v>0</v>
      </c>
    </row>
    <row r="1254" spans="1:6" ht="12">
      <c r="A1254" s="190">
        <v>240314</v>
      </c>
      <c r="B1254" s="171" t="s">
        <v>991</v>
      </c>
      <c r="C1254" s="169">
        <v>217154871</v>
      </c>
      <c r="D1254" s="178" t="s">
        <v>2281</v>
      </c>
      <c r="E1254" s="121">
        <v>6888</v>
      </c>
      <c r="F1254" s="120">
        <v>0</v>
      </c>
    </row>
    <row r="1255" spans="1:6" ht="12">
      <c r="A1255" s="190">
        <v>240314</v>
      </c>
      <c r="B1255" s="171" t="s">
        <v>991</v>
      </c>
      <c r="C1255" s="170">
        <v>217454874</v>
      </c>
      <c r="D1255" s="178" t="s">
        <v>2282</v>
      </c>
      <c r="E1255" s="121">
        <v>71811</v>
      </c>
      <c r="F1255" s="120">
        <v>0</v>
      </c>
    </row>
    <row r="1256" spans="1:6" ht="12">
      <c r="A1256" s="190">
        <v>240314</v>
      </c>
      <c r="B1256" s="171" t="s">
        <v>991</v>
      </c>
      <c r="C1256" s="170">
        <v>211163111</v>
      </c>
      <c r="D1256" s="178" t="s">
        <v>1448</v>
      </c>
      <c r="E1256" s="121">
        <v>4329</v>
      </c>
      <c r="F1256" s="120">
        <v>0</v>
      </c>
    </row>
    <row r="1257" spans="1:6" ht="12">
      <c r="A1257" s="190">
        <v>240314</v>
      </c>
      <c r="B1257" s="171" t="s">
        <v>991</v>
      </c>
      <c r="C1257" s="169">
        <v>213063130</v>
      </c>
      <c r="D1257" s="178" t="s">
        <v>2283</v>
      </c>
      <c r="E1257" s="121">
        <v>87479</v>
      </c>
      <c r="F1257" s="120">
        <v>0</v>
      </c>
    </row>
    <row r="1258" spans="1:6" ht="12">
      <c r="A1258" s="190">
        <v>240314</v>
      </c>
      <c r="B1258" s="171" t="s">
        <v>991</v>
      </c>
      <c r="C1258" s="170">
        <v>219063190</v>
      </c>
      <c r="D1258" s="178" t="s">
        <v>2284</v>
      </c>
      <c r="E1258" s="121">
        <v>31466</v>
      </c>
      <c r="F1258" s="120">
        <v>0</v>
      </c>
    </row>
    <row r="1259" spans="1:6" ht="12">
      <c r="A1259" s="190">
        <v>240314</v>
      </c>
      <c r="B1259" s="171" t="s">
        <v>991</v>
      </c>
      <c r="C1259" s="170">
        <v>211263212</v>
      </c>
      <c r="D1259" s="178" t="s">
        <v>1001</v>
      </c>
      <c r="E1259" s="121">
        <v>7190</v>
      </c>
      <c r="F1259" s="120">
        <v>0</v>
      </c>
    </row>
    <row r="1260" spans="1:6" ht="12">
      <c r="A1260" s="190">
        <v>240314</v>
      </c>
      <c r="B1260" s="171" t="s">
        <v>991</v>
      </c>
      <c r="C1260" s="170">
        <v>217263272</v>
      </c>
      <c r="D1260" s="178" t="s">
        <v>2285</v>
      </c>
      <c r="E1260" s="121">
        <v>16086</v>
      </c>
      <c r="F1260" s="120">
        <v>0</v>
      </c>
    </row>
    <row r="1261" spans="1:6" ht="12">
      <c r="A1261" s="190">
        <v>240314</v>
      </c>
      <c r="B1261" s="171" t="s">
        <v>991</v>
      </c>
      <c r="C1261" s="170">
        <v>210263302</v>
      </c>
      <c r="D1261" s="178" t="s">
        <v>2286</v>
      </c>
      <c r="E1261" s="121">
        <v>10632</v>
      </c>
      <c r="F1261" s="120">
        <v>0</v>
      </c>
    </row>
    <row r="1262" spans="1:6" ht="12">
      <c r="A1262" s="190">
        <v>240314</v>
      </c>
      <c r="B1262" s="171" t="s">
        <v>991</v>
      </c>
      <c r="C1262" s="170">
        <v>210163401</v>
      </c>
      <c r="D1262" s="178" t="s">
        <v>2287</v>
      </c>
      <c r="E1262" s="121">
        <v>43553</v>
      </c>
      <c r="F1262" s="120">
        <v>0</v>
      </c>
    </row>
    <row r="1263" spans="1:6" ht="12">
      <c r="A1263" s="190">
        <v>240314</v>
      </c>
      <c r="B1263" s="171" t="s">
        <v>991</v>
      </c>
      <c r="C1263" s="170">
        <v>217063470</v>
      </c>
      <c r="D1263" s="178" t="s">
        <v>2288</v>
      </c>
      <c r="E1263" s="121">
        <v>50238</v>
      </c>
      <c r="F1263" s="120">
        <v>0</v>
      </c>
    </row>
    <row r="1264" spans="1:6" ht="12">
      <c r="A1264" s="190">
        <v>240314</v>
      </c>
      <c r="B1264" s="171" t="s">
        <v>991</v>
      </c>
      <c r="C1264" s="170">
        <v>214863548</v>
      </c>
      <c r="D1264" s="178" t="s">
        <v>2289</v>
      </c>
      <c r="E1264" s="121">
        <v>14154</v>
      </c>
      <c r="F1264" s="120">
        <v>0</v>
      </c>
    </row>
    <row r="1265" spans="1:6" ht="12">
      <c r="A1265" s="190">
        <v>240314</v>
      </c>
      <c r="B1265" s="171" t="s">
        <v>991</v>
      </c>
      <c r="C1265" s="170">
        <v>219463594</v>
      </c>
      <c r="D1265" s="178" t="s">
        <v>2290</v>
      </c>
      <c r="E1265" s="121">
        <v>41831</v>
      </c>
      <c r="F1265" s="120">
        <v>0</v>
      </c>
    </row>
    <row r="1266" spans="1:6" ht="12">
      <c r="A1266" s="190">
        <v>240314</v>
      </c>
      <c r="B1266" s="171" t="s">
        <v>991</v>
      </c>
      <c r="C1266" s="170">
        <v>219063690</v>
      </c>
      <c r="D1266" s="178" t="s">
        <v>2291</v>
      </c>
      <c r="E1266" s="121">
        <v>9310</v>
      </c>
      <c r="F1266" s="120">
        <v>0</v>
      </c>
    </row>
    <row r="1267" spans="1:6" ht="12">
      <c r="A1267" s="190">
        <v>240314</v>
      </c>
      <c r="B1267" s="171" t="s">
        <v>991</v>
      </c>
      <c r="C1267" s="170">
        <v>214566045</v>
      </c>
      <c r="D1267" s="178" t="s">
        <v>2292</v>
      </c>
      <c r="E1267" s="121">
        <v>14169</v>
      </c>
      <c r="F1267" s="120">
        <v>0</v>
      </c>
    </row>
    <row r="1268" spans="1:6" ht="12">
      <c r="A1268" s="190">
        <v>240314</v>
      </c>
      <c r="B1268" s="171" t="s">
        <v>991</v>
      </c>
      <c r="C1268" s="170">
        <v>217566075</v>
      </c>
      <c r="D1268" s="178" t="s">
        <v>1671</v>
      </c>
      <c r="E1268" s="121">
        <v>8099</v>
      </c>
      <c r="F1268" s="120">
        <v>0</v>
      </c>
    </row>
    <row r="1269" spans="1:6" ht="12">
      <c r="A1269" s="190">
        <v>240314</v>
      </c>
      <c r="B1269" s="171" t="s">
        <v>991</v>
      </c>
      <c r="C1269" s="169">
        <v>218866088</v>
      </c>
      <c r="D1269" s="178" t="s">
        <v>2293</v>
      </c>
      <c r="E1269" s="121">
        <v>32799</v>
      </c>
      <c r="F1269" s="120">
        <v>0</v>
      </c>
    </row>
    <row r="1270" spans="1:6" ht="12">
      <c r="A1270" s="190">
        <v>240314</v>
      </c>
      <c r="B1270" s="171" t="s">
        <v>991</v>
      </c>
      <c r="C1270" s="170">
        <v>211866318</v>
      </c>
      <c r="D1270" s="178" t="s">
        <v>2294</v>
      </c>
      <c r="E1270" s="121">
        <v>16066</v>
      </c>
      <c r="F1270" s="120">
        <v>0</v>
      </c>
    </row>
    <row r="1271" spans="1:6" ht="12">
      <c r="A1271" s="190">
        <v>240314</v>
      </c>
      <c r="B1271" s="171" t="s">
        <v>991</v>
      </c>
      <c r="C1271" s="169">
        <v>218366383</v>
      </c>
      <c r="D1271" s="178" t="s">
        <v>2295</v>
      </c>
      <c r="E1271" s="121">
        <v>10027</v>
      </c>
      <c r="F1271" s="120">
        <v>0</v>
      </c>
    </row>
    <row r="1272" spans="1:6" ht="12">
      <c r="A1272" s="190">
        <v>240314</v>
      </c>
      <c r="B1272" s="171" t="s">
        <v>991</v>
      </c>
      <c r="C1272" s="170">
        <v>210066400</v>
      </c>
      <c r="D1272" s="178" t="s">
        <v>2296</v>
      </c>
      <c r="E1272" s="121">
        <v>39202</v>
      </c>
      <c r="F1272" s="120">
        <v>0</v>
      </c>
    </row>
    <row r="1273" spans="1:6" ht="12">
      <c r="A1273" s="190">
        <v>240314</v>
      </c>
      <c r="B1273" s="171" t="s">
        <v>991</v>
      </c>
      <c r="C1273" s="170">
        <v>214066440</v>
      </c>
      <c r="D1273" s="178" t="s">
        <v>2297</v>
      </c>
      <c r="E1273" s="121">
        <v>24024</v>
      </c>
      <c r="F1273" s="120">
        <v>0</v>
      </c>
    </row>
    <row r="1274" spans="1:6" ht="12">
      <c r="A1274" s="190">
        <v>240314</v>
      </c>
      <c r="B1274" s="171" t="s">
        <v>991</v>
      </c>
      <c r="C1274" s="170">
        <v>215666456</v>
      </c>
      <c r="D1274" s="178" t="s">
        <v>2298</v>
      </c>
      <c r="E1274" s="121">
        <v>21415</v>
      </c>
      <c r="F1274" s="120">
        <v>0</v>
      </c>
    </row>
    <row r="1275" spans="1:6" ht="12">
      <c r="A1275" s="190">
        <v>240314</v>
      </c>
      <c r="B1275" s="171" t="s">
        <v>991</v>
      </c>
      <c r="C1275" s="170">
        <v>217266572</v>
      </c>
      <c r="D1275" s="178" t="s">
        <v>2299</v>
      </c>
      <c r="E1275" s="121">
        <v>21276</v>
      </c>
      <c r="F1275" s="120">
        <v>0</v>
      </c>
    </row>
    <row r="1276" spans="1:6" ht="12">
      <c r="A1276" s="190">
        <v>240314</v>
      </c>
      <c r="B1276" s="171" t="s">
        <v>991</v>
      </c>
      <c r="C1276" s="169">
        <v>219466594</v>
      </c>
      <c r="D1276" s="178" t="s">
        <v>2300</v>
      </c>
      <c r="E1276" s="121">
        <v>37055</v>
      </c>
      <c r="F1276" s="120">
        <v>0</v>
      </c>
    </row>
    <row r="1277" spans="1:6" ht="12">
      <c r="A1277" s="190">
        <v>240314</v>
      </c>
      <c r="B1277" s="171" t="s">
        <v>991</v>
      </c>
      <c r="C1277" s="169">
        <v>218266682</v>
      </c>
      <c r="D1277" s="178" t="s">
        <v>2301</v>
      </c>
      <c r="E1277" s="121">
        <v>78851</v>
      </c>
      <c r="F1277" s="120">
        <v>0</v>
      </c>
    </row>
    <row r="1278" spans="1:6" ht="12">
      <c r="A1278" s="190">
        <v>240314</v>
      </c>
      <c r="B1278" s="171" t="s">
        <v>991</v>
      </c>
      <c r="C1278" s="170">
        <v>218766687</v>
      </c>
      <c r="D1278" s="178" t="s">
        <v>2302</v>
      </c>
      <c r="E1278" s="121">
        <v>17399</v>
      </c>
      <c r="F1278" s="120">
        <v>0</v>
      </c>
    </row>
    <row r="1279" spans="1:6" ht="12">
      <c r="A1279" s="190">
        <v>240314</v>
      </c>
      <c r="B1279" s="171" t="s">
        <v>991</v>
      </c>
      <c r="C1279" s="170" t="s">
        <v>2303</v>
      </c>
      <c r="D1279" s="178" t="s">
        <v>2304</v>
      </c>
      <c r="E1279" s="121">
        <v>2367</v>
      </c>
      <c r="F1279" s="120">
        <v>0</v>
      </c>
    </row>
    <row r="1280" spans="1:6" ht="12">
      <c r="A1280" s="190">
        <v>240314</v>
      </c>
      <c r="B1280" s="171" t="s">
        <v>991</v>
      </c>
      <c r="C1280" s="170" t="s">
        <v>2305</v>
      </c>
      <c r="D1280" s="178" t="s">
        <v>1646</v>
      </c>
      <c r="E1280" s="121">
        <v>5662</v>
      </c>
      <c r="F1280" s="120">
        <v>0</v>
      </c>
    </row>
    <row r="1281" spans="1:6" ht="12">
      <c r="A1281" s="190">
        <v>240314</v>
      </c>
      <c r="B1281" s="171" t="s">
        <v>991</v>
      </c>
      <c r="C1281" s="170" t="s">
        <v>2306</v>
      </c>
      <c r="D1281" s="178" t="s">
        <v>2307</v>
      </c>
      <c r="E1281" s="121">
        <v>9925</v>
      </c>
      <c r="F1281" s="120">
        <v>0</v>
      </c>
    </row>
    <row r="1282" spans="1:6" ht="12">
      <c r="A1282" s="190">
        <v>240314</v>
      </c>
      <c r="B1282" s="171" t="s">
        <v>991</v>
      </c>
      <c r="C1282" s="170" t="s">
        <v>2308</v>
      </c>
      <c r="D1282" s="178" t="s">
        <v>1117</v>
      </c>
      <c r="E1282" s="121">
        <v>25224</v>
      </c>
      <c r="F1282" s="120">
        <v>0</v>
      </c>
    </row>
    <row r="1283" spans="1:6" ht="12">
      <c r="A1283" s="190">
        <v>240314</v>
      </c>
      <c r="B1283" s="171" t="s">
        <v>991</v>
      </c>
      <c r="C1283" s="170" t="s">
        <v>2309</v>
      </c>
      <c r="D1283" s="178" t="s">
        <v>2310</v>
      </c>
      <c r="E1283" s="121">
        <v>7598</v>
      </c>
      <c r="F1283" s="120">
        <v>0</v>
      </c>
    </row>
    <row r="1284" spans="1:6" ht="12">
      <c r="A1284" s="190">
        <v>240314</v>
      </c>
      <c r="B1284" s="171" t="s">
        <v>991</v>
      </c>
      <c r="C1284" s="170" t="s">
        <v>2311</v>
      </c>
      <c r="D1284" s="178" t="s">
        <v>1123</v>
      </c>
      <c r="E1284" s="121">
        <v>6167</v>
      </c>
      <c r="F1284" s="120">
        <v>0</v>
      </c>
    </row>
    <row r="1285" spans="1:6" ht="12">
      <c r="A1285" s="190">
        <v>240314</v>
      </c>
      <c r="B1285" s="171" t="s">
        <v>991</v>
      </c>
      <c r="C1285" s="170">
        <v>210168101</v>
      </c>
      <c r="D1285" s="178" t="s">
        <v>994</v>
      </c>
      <c r="E1285" s="121">
        <v>13666</v>
      </c>
      <c r="F1285" s="120">
        <v>0</v>
      </c>
    </row>
    <row r="1286" spans="1:6" ht="12">
      <c r="A1286" s="190">
        <v>240314</v>
      </c>
      <c r="B1286" s="171" t="s">
        <v>991</v>
      </c>
      <c r="C1286" s="170" t="s">
        <v>2312</v>
      </c>
      <c r="D1286" s="178" t="s">
        <v>1812</v>
      </c>
      <c r="E1286" s="121">
        <v>1803</v>
      </c>
      <c r="F1286" s="120">
        <v>0</v>
      </c>
    </row>
    <row r="1287" spans="1:6" ht="12">
      <c r="A1287" s="190">
        <v>240314</v>
      </c>
      <c r="B1287" s="171" t="s">
        <v>991</v>
      </c>
      <c r="C1287" s="170" t="s">
        <v>2313</v>
      </c>
      <c r="D1287" s="178" t="s">
        <v>2314</v>
      </c>
      <c r="E1287" s="121">
        <v>1600</v>
      </c>
      <c r="F1287" s="120">
        <v>0</v>
      </c>
    </row>
    <row r="1288" spans="1:6" ht="12">
      <c r="A1288" s="190">
        <v>240314</v>
      </c>
      <c r="B1288" s="171" t="s">
        <v>991</v>
      </c>
      <c r="C1288" s="170" t="s">
        <v>2315</v>
      </c>
      <c r="D1288" s="178" t="s">
        <v>2316</v>
      </c>
      <c r="E1288" s="121">
        <v>7349</v>
      </c>
      <c r="F1288" s="120">
        <v>0</v>
      </c>
    </row>
    <row r="1289" spans="1:6" ht="12">
      <c r="A1289" s="190">
        <v>240314</v>
      </c>
      <c r="B1289" s="171" t="s">
        <v>991</v>
      </c>
      <c r="C1289" s="170">
        <v>215268152</v>
      </c>
      <c r="D1289" s="178" t="s">
        <v>2317</v>
      </c>
      <c r="E1289" s="121">
        <v>4709</v>
      </c>
      <c r="F1289" s="120">
        <v>0</v>
      </c>
    </row>
    <row r="1290" spans="1:6" ht="12">
      <c r="A1290" s="190">
        <v>240314</v>
      </c>
      <c r="B1290" s="171" t="s">
        <v>991</v>
      </c>
      <c r="C1290" s="170">
        <v>216068160</v>
      </c>
      <c r="D1290" s="178" t="s">
        <v>2318</v>
      </c>
      <c r="E1290" s="121">
        <v>2260</v>
      </c>
      <c r="F1290" s="120">
        <v>0</v>
      </c>
    </row>
    <row r="1291" spans="1:6" ht="12">
      <c r="A1291" s="190">
        <v>240314</v>
      </c>
      <c r="B1291" s="171" t="s">
        <v>991</v>
      </c>
      <c r="C1291" s="170">
        <v>216268162</v>
      </c>
      <c r="D1291" s="178" t="s">
        <v>2319</v>
      </c>
      <c r="E1291" s="121">
        <v>7093</v>
      </c>
      <c r="F1291" s="120">
        <v>0</v>
      </c>
    </row>
    <row r="1292" spans="1:6" ht="12">
      <c r="A1292" s="190">
        <v>240314</v>
      </c>
      <c r="B1292" s="171" t="s">
        <v>991</v>
      </c>
      <c r="C1292" s="170" t="s">
        <v>2320</v>
      </c>
      <c r="D1292" s="178" t="s">
        <v>2321</v>
      </c>
      <c r="E1292" s="121">
        <v>16526</v>
      </c>
      <c r="F1292" s="120">
        <v>0</v>
      </c>
    </row>
    <row r="1293" spans="1:6" ht="12">
      <c r="A1293" s="190">
        <v>240314</v>
      </c>
      <c r="B1293" s="171" t="s">
        <v>991</v>
      </c>
      <c r="C1293" s="170" t="s">
        <v>2322</v>
      </c>
      <c r="D1293" s="178" t="s">
        <v>2323</v>
      </c>
      <c r="E1293" s="121">
        <v>2393</v>
      </c>
      <c r="F1293" s="120">
        <v>0</v>
      </c>
    </row>
    <row r="1294" spans="1:6" ht="12">
      <c r="A1294" s="190">
        <v>240314</v>
      </c>
      <c r="B1294" s="171" t="s">
        <v>991</v>
      </c>
      <c r="C1294" s="170" t="s">
        <v>2324</v>
      </c>
      <c r="D1294" s="178" t="s">
        <v>1760</v>
      </c>
      <c r="E1294" s="121">
        <v>3494</v>
      </c>
      <c r="F1294" s="120">
        <v>0</v>
      </c>
    </row>
    <row r="1295" spans="1:6" ht="12">
      <c r="A1295" s="190">
        <v>240314</v>
      </c>
      <c r="B1295" s="171" t="s">
        <v>991</v>
      </c>
      <c r="C1295" s="170" t="s">
        <v>2325</v>
      </c>
      <c r="D1295" s="178" t="s">
        <v>2326</v>
      </c>
      <c r="E1295" s="121">
        <v>4793</v>
      </c>
      <c r="F1295" s="120">
        <v>0</v>
      </c>
    </row>
    <row r="1296" spans="1:6" ht="12">
      <c r="A1296" s="190">
        <v>240314</v>
      </c>
      <c r="B1296" s="171" t="s">
        <v>991</v>
      </c>
      <c r="C1296" s="170" t="s">
        <v>2327</v>
      </c>
      <c r="D1296" s="178" t="s">
        <v>2328</v>
      </c>
      <c r="E1296" s="121">
        <v>38407</v>
      </c>
      <c r="F1296" s="120">
        <v>0</v>
      </c>
    </row>
    <row r="1297" spans="1:6" ht="12">
      <c r="A1297" s="190">
        <v>240314</v>
      </c>
      <c r="B1297" s="171" t="s">
        <v>991</v>
      </c>
      <c r="C1297" s="170" t="s">
        <v>2329</v>
      </c>
      <c r="D1297" s="178" t="s">
        <v>1155</v>
      </c>
      <c r="E1297" s="121">
        <v>5731</v>
      </c>
      <c r="F1297" s="120">
        <v>0</v>
      </c>
    </row>
    <row r="1298" spans="1:6" ht="12">
      <c r="A1298" s="190">
        <v>240314</v>
      </c>
      <c r="B1298" s="171" t="s">
        <v>991</v>
      </c>
      <c r="C1298" s="170" t="s">
        <v>2330</v>
      </c>
      <c r="D1298" s="178" t="s">
        <v>2331</v>
      </c>
      <c r="E1298" s="121">
        <v>2376</v>
      </c>
      <c r="F1298" s="120">
        <v>0</v>
      </c>
    </row>
    <row r="1299" spans="1:6" ht="12">
      <c r="A1299" s="190">
        <v>240314</v>
      </c>
      <c r="B1299" s="171" t="s">
        <v>991</v>
      </c>
      <c r="C1299" s="170" t="s">
        <v>2332</v>
      </c>
      <c r="D1299" s="178" t="s">
        <v>2333</v>
      </c>
      <c r="E1299" s="121">
        <v>5122</v>
      </c>
      <c r="F1299" s="120">
        <v>0</v>
      </c>
    </row>
    <row r="1300" spans="1:6" ht="12">
      <c r="A1300" s="190">
        <v>240314</v>
      </c>
      <c r="B1300" s="171" t="s">
        <v>991</v>
      </c>
      <c r="C1300" s="170" t="s">
        <v>2334</v>
      </c>
      <c r="D1300" s="178" t="s">
        <v>2335</v>
      </c>
      <c r="E1300" s="121">
        <v>6601</v>
      </c>
      <c r="F1300" s="120">
        <v>0</v>
      </c>
    </row>
    <row r="1301" spans="1:6" ht="12">
      <c r="A1301" s="190">
        <v>240314</v>
      </c>
      <c r="B1301" s="171" t="s">
        <v>991</v>
      </c>
      <c r="C1301" s="170">
        <v>212968229</v>
      </c>
      <c r="D1301" s="178" t="s">
        <v>2336</v>
      </c>
      <c r="E1301" s="121">
        <v>11505</v>
      </c>
      <c r="F1301" s="120">
        <v>0</v>
      </c>
    </row>
    <row r="1302" spans="1:6" ht="12">
      <c r="A1302" s="190">
        <v>240314</v>
      </c>
      <c r="B1302" s="171" t="s">
        <v>991</v>
      </c>
      <c r="C1302" s="170" t="s">
        <v>2337</v>
      </c>
      <c r="D1302" s="178" t="s">
        <v>2031</v>
      </c>
      <c r="E1302" s="121">
        <v>20763</v>
      </c>
      <c r="F1302" s="120">
        <v>0</v>
      </c>
    </row>
    <row r="1303" spans="1:6" ht="12">
      <c r="A1303" s="190">
        <v>240314</v>
      </c>
      <c r="B1303" s="171" t="s">
        <v>991</v>
      </c>
      <c r="C1303" s="170" t="s">
        <v>2338</v>
      </c>
      <c r="D1303" s="178" t="s">
        <v>2339</v>
      </c>
      <c r="E1303" s="121">
        <v>2670</v>
      </c>
      <c r="F1303" s="120">
        <v>0</v>
      </c>
    </row>
    <row r="1304" spans="1:6" ht="12">
      <c r="A1304" s="190">
        <v>240314</v>
      </c>
      <c r="B1304" s="171" t="s">
        <v>991</v>
      </c>
      <c r="C1304" s="170" t="s">
        <v>2340</v>
      </c>
      <c r="D1304" s="178" t="s">
        <v>2341</v>
      </c>
      <c r="E1304" s="121">
        <v>6832</v>
      </c>
      <c r="F1304" s="120">
        <v>0</v>
      </c>
    </row>
    <row r="1305" spans="1:6" ht="12">
      <c r="A1305" s="190">
        <v>240314</v>
      </c>
      <c r="B1305" s="171" t="s">
        <v>991</v>
      </c>
      <c r="C1305" s="170" t="s">
        <v>2342</v>
      </c>
      <c r="D1305" s="178" t="s">
        <v>2343</v>
      </c>
      <c r="E1305" s="121">
        <v>15544</v>
      </c>
      <c r="F1305" s="120">
        <v>0</v>
      </c>
    </row>
    <row r="1306" spans="1:6" ht="12">
      <c r="A1306" s="190">
        <v>240314</v>
      </c>
      <c r="B1306" s="171" t="s">
        <v>991</v>
      </c>
      <c r="C1306" s="170" t="s">
        <v>2344</v>
      </c>
      <c r="D1306" s="178" t="s">
        <v>2345</v>
      </c>
      <c r="E1306" s="121">
        <v>3281</v>
      </c>
      <c r="F1306" s="120">
        <v>0</v>
      </c>
    </row>
    <row r="1307" spans="1:6" ht="12">
      <c r="A1307" s="190">
        <v>240314</v>
      </c>
      <c r="B1307" s="171" t="s">
        <v>991</v>
      </c>
      <c r="C1307" s="170" t="s">
        <v>2346</v>
      </c>
      <c r="D1307" s="178" t="s">
        <v>2347</v>
      </c>
      <c r="E1307" s="121">
        <v>4578</v>
      </c>
      <c r="F1307" s="120">
        <v>0</v>
      </c>
    </row>
    <row r="1308" spans="1:6" ht="12">
      <c r="A1308" s="190">
        <v>240314</v>
      </c>
      <c r="B1308" s="171" t="s">
        <v>991</v>
      </c>
      <c r="C1308" s="170" t="s">
        <v>2348</v>
      </c>
      <c r="D1308" s="178" t="s">
        <v>2349</v>
      </c>
      <c r="E1308" s="121">
        <v>8884</v>
      </c>
      <c r="F1308" s="120">
        <v>0</v>
      </c>
    </row>
    <row r="1309" spans="1:6" ht="12">
      <c r="A1309" s="190">
        <v>240314</v>
      </c>
      <c r="B1309" s="171" t="s">
        <v>991</v>
      </c>
      <c r="C1309" s="170" t="s">
        <v>2350</v>
      </c>
      <c r="D1309" s="178" t="s">
        <v>2351</v>
      </c>
      <c r="E1309" s="121">
        <v>3208</v>
      </c>
      <c r="F1309" s="120">
        <v>0</v>
      </c>
    </row>
    <row r="1310" spans="1:6" ht="12">
      <c r="A1310" s="190">
        <v>240314</v>
      </c>
      <c r="B1310" s="171" t="s">
        <v>991</v>
      </c>
      <c r="C1310" s="170" t="s">
        <v>2352</v>
      </c>
      <c r="D1310" s="178" t="s">
        <v>2353</v>
      </c>
      <c r="E1310" s="121">
        <v>5076</v>
      </c>
      <c r="F1310" s="120">
        <v>0</v>
      </c>
    </row>
    <row r="1311" spans="1:6" ht="12">
      <c r="A1311" s="190">
        <v>240314</v>
      </c>
      <c r="B1311" s="171" t="s">
        <v>991</v>
      </c>
      <c r="C1311" s="170" t="s">
        <v>2354</v>
      </c>
      <c r="D1311" s="178" t="s">
        <v>2355</v>
      </c>
      <c r="E1311" s="121">
        <v>6884</v>
      </c>
      <c r="F1311" s="120">
        <v>0</v>
      </c>
    </row>
    <row r="1312" spans="1:6" ht="12">
      <c r="A1312" s="190">
        <v>240314</v>
      </c>
      <c r="B1312" s="171" t="s">
        <v>991</v>
      </c>
      <c r="C1312" s="170" t="s">
        <v>2356</v>
      </c>
      <c r="D1312" s="178" t="s">
        <v>1181</v>
      </c>
      <c r="E1312" s="121">
        <v>7206</v>
      </c>
      <c r="F1312" s="120">
        <v>0</v>
      </c>
    </row>
    <row r="1313" spans="1:6" ht="12">
      <c r="A1313" s="190">
        <v>240314</v>
      </c>
      <c r="B1313" s="171" t="s">
        <v>991</v>
      </c>
      <c r="C1313" s="170">
        <v>212268322</v>
      </c>
      <c r="D1313" s="178" t="s">
        <v>2357</v>
      </c>
      <c r="E1313" s="121">
        <v>2912</v>
      </c>
      <c r="F1313" s="120">
        <v>0</v>
      </c>
    </row>
    <row r="1314" spans="1:6" ht="12">
      <c r="A1314" s="190">
        <v>240314</v>
      </c>
      <c r="B1314" s="171" t="s">
        <v>991</v>
      </c>
      <c r="C1314" s="170" t="s">
        <v>2358</v>
      </c>
      <c r="D1314" s="178" t="s">
        <v>2359</v>
      </c>
      <c r="E1314" s="121">
        <v>4446</v>
      </c>
      <c r="F1314" s="120">
        <v>0</v>
      </c>
    </row>
    <row r="1315" spans="1:6" ht="12">
      <c r="A1315" s="190">
        <v>240314</v>
      </c>
      <c r="B1315" s="171" t="s">
        <v>991</v>
      </c>
      <c r="C1315" s="170">
        <v>212768327</v>
      </c>
      <c r="D1315" s="178" t="s">
        <v>2360</v>
      </c>
      <c r="E1315" s="121">
        <v>5344</v>
      </c>
      <c r="F1315" s="120">
        <v>0</v>
      </c>
    </row>
    <row r="1316" spans="1:6" ht="12">
      <c r="A1316" s="190">
        <v>240314</v>
      </c>
      <c r="B1316" s="171" t="s">
        <v>991</v>
      </c>
      <c r="C1316" s="169" t="s">
        <v>2361</v>
      </c>
      <c r="D1316" s="178" t="s">
        <v>2362</v>
      </c>
      <c r="E1316" s="121">
        <v>1638</v>
      </c>
      <c r="F1316" s="120">
        <v>0</v>
      </c>
    </row>
    <row r="1317" spans="1:6" ht="12">
      <c r="A1317" s="190">
        <v>240314</v>
      </c>
      <c r="B1317" s="171" t="s">
        <v>991</v>
      </c>
      <c r="C1317" s="169" t="s">
        <v>2363</v>
      </c>
      <c r="D1317" s="178" t="s">
        <v>2364</v>
      </c>
      <c r="E1317" s="121">
        <v>4971</v>
      </c>
      <c r="F1317" s="120">
        <v>0</v>
      </c>
    </row>
    <row r="1318" spans="1:6" ht="12">
      <c r="A1318" s="190">
        <v>240314</v>
      </c>
      <c r="B1318" s="171" t="s">
        <v>991</v>
      </c>
      <c r="C1318" s="169" t="s">
        <v>2365</v>
      </c>
      <c r="D1318" s="178" t="s">
        <v>2366</v>
      </c>
      <c r="E1318" s="121">
        <v>1565</v>
      </c>
      <c r="F1318" s="120">
        <v>0</v>
      </c>
    </row>
    <row r="1319" spans="1:6" ht="12">
      <c r="A1319" s="190">
        <v>240314</v>
      </c>
      <c r="B1319" s="171" t="s">
        <v>991</v>
      </c>
      <c r="C1319" s="169" t="s">
        <v>2367</v>
      </c>
      <c r="D1319" s="178" t="s">
        <v>2368</v>
      </c>
      <c r="E1319" s="121">
        <v>8574</v>
      </c>
      <c r="F1319" s="120">
        <v>0</v>
      </c>
    </row>
    <row r="1320" spans="1:6" ht="12">
      <c r="A1320" s="190">
        <v>240314</v>
      </c>
      <c r="B1320" s="171" t="s">
        <v>991</v>
      </c>
      <c r="C1320" s="164">
        <v>218568385</v>
      </c>
      <c r="D1320" s="178" t="s">
        <v>2369</v>
      </c>
      <c r="E1320" s="121">
        <v>15093</v>
      </c>
      <c r="F1320" s="120">
        <v>0</v>
      </c>
    </row>
    <row r="1321" spans="1:6" ht="12">
      <c r="A1321" s="190">
        <v>240314</v>
      </c>
      <c r="B1321" s="171" t="s">
        <v>991</v>
      </c>
      <c r="C1321" s="169">
        <v>219768397</v>
      </c>
      <c r="D1321" s="178" t="s">
        <v>1744</v>
      </c>
      <c r="E1321" s="121">
        <v>5268</v>
      </c>
      <c r="F1321" s="120">
        <v>0</v>
      </c>
    </row>
    <row r="1322" spans="1:6" ht="12">
      <c r="A1322" s="190">
        <v>240314</v>
      </c>
      <c r="B1322" s="171" t="s">
        <v>991</v>
      </c>
      <c r="C1322" s="169" t="s">
        <v>2370</v>
      </c>
      <c r="D1322" s="178" t="s">
        <v>2371</v>
      </c>
      <c r="E1322" s="121">
        <v>33198</v>
      </c>
      <c r="F1322" s="120">
        <v>0</v>
      </c>
    </row>
    <row r="1323" spans="1:6" ht="12">
      <c r="A1323" s="190">
        <v>240314</v>
      </c>
      <c r="B1323" s="171" t="s">
        <v>991</v>
      </c>
      <c r="C1323" s="169" t="s">
        <v>2372</v>
      </c>
      <c r="D1323" s="178" t="s">
        <v>2373</v>
      </c>
      <c r="E1323" s="121">
        <v>11375</v>
      </c>
      <c r="F1323" s="120">
        <v>0</v>
      </c>
    </row>
    <row r="1324" spans="1:6" ht="12">
      <c r="A1324" s="190">
        <v>240314</v>
      </c>
      <c r="B1324" s="171" t="s">
        <v>991</v>
      </c>
      <c r="C1324" s="169" t="s">
        <v>2374</v>
      </c>
      <c r="D1324" s="178" t="s">
        <v>2375</v>
      </c>
      <c r="E1324" s="121">
        <v>3177</v>
      </c>
      <c r="F1324" s="120">
        <v>0</v>
      </c>
    </row>
    <row r="1325" spans="1:6" ht="12">
      <c r="A1325" s="190">
        <v>240314</v>
      </c>
      <c r="B1325" s="171" t="s">
        <v>991</v>
      </c>
      <c r="C1325" s="169" t="s">
        <v>2376</v>
      </c>
      <c r="D1325" s="178" t="s">
        <v>2377</v>
      </c>
      <c r="E1325" s="121">
        <v>27288</v>
      </c>
      <c r="F1325" s="120">
        <v>0</v>
      </c>
    </row>
    <row r="1326" spans="1:6" ht="12">
      <c r="A1326" s="190">
        <v>240314</v>
      </c>
      <c r="B1326" s="171" t="s">
        <v>991</v>
      </c>
      <c r="C1326" s="169" t="s">
        <v>2378</v>
      </c>
      <c r="D1326" s="178" t="s">
        <v>2379</v>
      </c>
      <c r="E1326" s="121">
        <v>6929</v>
      </c>
      <c r="F1326" s="120">
        <v>0</v>
      </c>
    </row>
    <row r="1327" spans="1:6" ht="12">
      <c r="A1327" s="190">
        <v>240314</v>
      </c>
      <c r="B1327" s="171" t="s">
        <v>991</v>
      </c>
      <c r="C1327" s="169" t="s">
        <v>2380</v>
      </c>
      <c r="D1327" s="178" t="s">
        <v>2381</v>
      </c>
      <c r="E1327" s="121">
        <v>13171</v>
      </c>
      <c r="F1327" s="120">
        <v>0</v>
      </c>
    </row>
    <row r="1328" spans="1:6" ht="12">
      <c r="A1328" s="190">
        <v>240314</v>
      </c>
      <c r="B1328" s="171" t="s">
        <v>991</v>
      </c>
      <c r="C1328" s="169" t="s">
        <v>2382</v>
      </c>
      <c r="D1328" s="178" t="s">
        <v>2383</v>
      </c>
      <c r="E1328" s="121">
        <v>4662</v>
      </c>
      <c r="F1328" s="120">
        <v>0</v>
      </c>
    </row>
    <row r="1329" spans="1:6" ht="12">
      <c r="A1329" s="190">
        <v>240314</v>
      </c>
      <c r="B1329" s="171" t="s">
        <v>991</v>
      </c>
      <c r="C1329" s="169" t="s">
        <v>2384</v>
      </c>
      <c r="D1329" s="178" t="s">
        <v>2385</v>
      </c>
      <c r="E1329" s="121">
        <v>5147</v>
      </c>
      <c r="F1329" s="120">
        <v>0</v>
      </c>
    </row>
    <row r="1330" spans="1:6" ht="12">
      <c r="A1330" s="190">
        <v>240314</v>
      </c>
      <c r="B1330" s="171" t="s">
        <v>991</v>
      </c>
      <c r="C1330" s="169" t="s">
        <v>2386</v>
      </c>
      <c r="D1330" s="178" t="s">
        <v>2387</v>
      </c>
      <c r="E1330" s="121">
        <v>14240</v>
      </c>
      <c r="F1330" s="120">
        <v>0</v>
      </c>
    </row>
    <row r="1331" spans="1:6" ht="12">
      <c r="A1331" s="190">
        <v>240314</v>
      </c>
      <c r="B1331" s="171" t="s">
        <v>991</v>
      </c>
      <c r="C1331" s="169" t="s">
        <v>2388</v>
      </c>
      <c r="D1331" s="178" t="s">
        <v>2389</v>
      </c>
      <c r="E1331" s="121">
        <v>5755</v>
      </c>
      <c r="F1331" s="120">
        <v>0</v>
      </c>
    </row>
    <row r="1332" spans="1:6" ht="12">
      <c r="A1332" s="190">
        <v>240314</v>
      </c>
      <c r="B1332" s="171" t="s">
        <v>991</v>
      </c>
      <c r="C1332" s="169" t="s">
        <v>2390</v>
      </c>
      <c r="D1332" s="178" t="s">
        <v>2391</v>
      </c>
      <c r="E1332" s="121">
        <v>2058</v>
      </c>
      <c r="F1332" s="120">
        <v>0</v>
      </c>
    </row>
    <row r="1333" spans="1:6" ht="12">
      <c r="A1333" s="190">
        <v>240314</v>
      </c>
      <c r="B1333" s="171" t="s">
        <v>991</v>
      </c>
      <c r="C1333" s="169" t="s">
        <v>2392</v>
      </c>
      <c r="D1333" s="178" t="s">
        <v>2393</v>
      </c>
      <c r="E1333" s="121">
        <v>2674</v>
      </c>
      <c r="F1333" s="120">
        <v>0</v>
      </c>
    </row>
    <row r="1334" spans="1:6" ht="12">
      <c r="A1334" s="190">
        <v>240314</v>
      </c>
      <c r="B1334" s="171" t="s">
        <v>991</v>
      </c>
      <c r="C1334" s="169" t="s">
        <v>2394</v>
      </c>
      <c r="D1334" s="178" t="s">
        <v>2395</v>
      </c>
      <c r="E1334" s="121">
        <v>3737</v>
      </c>
      <c r="F1334" s="120">
        <v>0</v>
      </c>
    </row>
    <row r="1335" spans="1:6" ht="12">
      <c r="A1335" s="190">
        <v>240314</v>
      </c>
      <c r="B1335" s="171" t="s">
        <v>991</v>
      </c>
      <c r="C1335" s="169" t="s">
        <v>2396</v>
      </c>
      <c r="D1335" s="178" t="s">
        <v>2397</v>
      </c>
      <c r="E1335" s="121">
        <v>121058</v>
      </c>
      <c r="F1335" s="120">
        <v>0</v>
      </c>
    </row>
    <row r="1336" spans="1:6" ht="12">
      <c r="A1336" s="190">
        <v>240314</v>
      </c>
      <c r="B1336" s="171" t="s">
        <v>991</v>
      </c>
      <c r="C1336" s="169" t="s">
        <v>2398</v>
      </c>
      <c r="D1336" s="178" t="s">
        <v>2399</v>
      </c>
      <c r="E1336" s="121">
        <v>4521</v>
      </c>
      <c r="F1336" s="120">
        <v>0</v>
      </c>
    </row>
    <row r="1337" spans="1:6" ht="12">
      <c r="A1337" s="190">
        <v>240314</v>
      </c>
      <c r="B1337" s="171" t="s">
        <v>991</v>
      </c>
      <c r="C1337" s="169" t="s">
        <v>2400</v>
      </c>
      <c r="D1337" s="178" t="s">
        <v>2401</v>
      </c>
      <c r="E1337" s="121">
        <v>22056</v>
      </c>
      <c r="F1337" s="120">
        <v>0</v>
      </c>
    </row>
    <row r="1338" spans="1:6" ht="12">
      <c r="A1338" s="190">
        <v>240314</v>
      </c>
      <c r="B1338" s="171" t="s">
        <v>991</v>
      </c>
      <c r="C1338" s="169" t="s">
        <v>2402</v>
      </c>
      <c r="D1338" s="178" t="s">
        <v>2403</v>
      </c>
      <c r="E1338" s="121">
        <v>8778</v>
      </c>
      <c r="F1338" s="120">
        <v>0</v>
      </c>
    </row>
    <row r="1339" spans="1:6" ht="12">
      <c r="A1339" s="190">
        <v>240314</v>
      </c>
      <c r="B1339" s="171" t="s">
        <v>991</v>
      </c>
      <c r="C1339" s="169" t="s">
        <v>2404</v>
      </c>
      <c r="D1339" s="178" t="s">
        <v>2405</v>
      </c>
      <c r="E1339" s="121">
        <v>49735</v>
      </c>
      <c r="F1339" s="120">
        <v>0</v>
      </c>
    </row>
    <row r="1340" spans="1:6" ht="12">
      <c r="A1340" s="190">
        <v>240314</v>
      </c>
      <c r="B1340" s="171" t="s">
        <v>991</v>
      </c>
      <c r="C1340" s="169" t="s">
        <v>2406</v>
      </c>
      <c r="D1340" s="178" t="s">
        <v>1239</v>
      </c>
      <c r="E1340" s="121">
        <v>36143</v>
      </c>
      <c r="F1340" s="120">
        <v>0</v>
      </c>
    </row>
    <row r="1341" spans="1:6" ht="12">
      <c r="A1341" s="190">
        <v>240314</v>
      </c>
      <c r="B1341" s="171" t="s">
        <v>991</v>
      </c>
      <c r="C1341" s="169" t="s">
        <v>2407</v>
      </c>
      <c r="D1341" s="178" t="s">
        <v>2408</v>
      </c>
      <c r="E1341" s="121">
        <v>26837</v>
      </c>
      <c r="F1341" s="120">
        <v>0</v>
      </c>
    </row>
    <row r="1342" spans="1:6" ht="12">
      <c r="A1342" s="190">
        <v>240314</v>
      </c>
      <c r="B1342" s="171" t="s">
        <v>991</v>
      </c>
      <c r="C1342" s="169" t="s">
        <v>2409</v>
      </c>
      <c r="D1342" s="178" t="s">
        <v>1017</v>
      </c>
      <c r="E1342" s="121">
        <v>12460</v>
      </c>
      <c r="F1342" s="120">
        <v>0</v>
      </c>
    </row>
    <row r="1343" spans="1:6" ht="12">
      <c r="A1343" s="190">
        <v>240314</v>
      </c>
      <c r="B1343" s="171" t="s">
        <v>991</v>
      </c>
      <c r="C1343" s="169" t="s">
        <v>2410</v>
      </c>
      <c r="D1343" s="178" t="s">
        <v>2411</v>
      </c>
      <c r="E1343" s="121">
        <v>3492</v>
      </c>
      <c r="F1343" s="120">
        <v>0</v>
      </c>
    </row>
    <row r="1344" spans="1:6" ht="12">
      <c r="A1344" s="190">
        <v>240314</v>
      </c>
      <c r="B1344" s="171" t="s">
        <v>991</v>
      </c>
      <c r="C1344" s="169" t="s">
        <v>2412</v>
      </c>
      <c r="D1344" s="178" t="s">
        <v>2413</v>
      </c>
      <c r="E1344" s="121">
        <v>48716</v>
      </c>
      <c r="F1344" s="120">
        <v>0</v>
      </c>
    </row>
    <row r="1345" spans="1:6" ht="12">
      <c r="A1345" s="190">
        <v>240314</v>
      </c>
      <c r="B1345" s="171" t="s">
        <v>991</v>
      </c>
      <c r="C1345" s="169" t="s">
        <v>2414</v>
      </c>
      <c r="D1345" s="178" t="s">
        <v>2415</v>
      </c>
      <c r="E1345" s="121">
        <v>2889</v>
      </c>
      <c r="F1345" s="120">
        <v>0</v>
      </c>
    </row>
    <row r="1346" spans="1:6" ht="12">
      <c r="A1346" s="190">
        <v>240314</v>
      </c>
      <c r="B1346" s="171" t="s">
        <v>991</v>
      </c>
      <c r="C1346" s="169" t="s">
        <v>2416</v>
      </c>
      <c r="D1346" s="178" t="s">
        <v>2417</v>
      </c>
      <c r="E1346" s="121">
        <v>5174</v>
      </c>
      <c r="F1346" s="120">
        <v>0</v>
      </c>
    </row>
    <row r="1347" spans="1:6" ht="12">
      <c r="A1347" s="190">
        <v>240314</v>
      </c>
      <c r="B1347" s="171" t="s">
        <v>991</v>
      </c>
      <c r="C1347" s="169" t="s">
        <v>2418</v>
      </c>
      <c r="D1347" s="178" t="s">
        <v>2419</v>
      </c>
      <c r="E1347" s="121">
        <v>3774</v>
      </c>
      <c r="F1347" s="120">
        <v>0</v>
      </c>
    </row>
    <row r="1348" spans="1:6" ht="12">
      <c r="A1348" s="190">
        <v>240314</v>
      </c>
      <c r="B1348" s="171" t="s">
        <v>991</v>
      </c>
      <c r="C1348" s="169">
        <v>218968689</v>
      </c>
      <c r="D1348" s="178" t="s">
        <v>2420</v>
      </c>
      <c r="E1348" s="121">
        <v>40278</v>
      </c>
      <c r="F1348" s="120">
        <v>0</v>
      </c>
    </row>
    <row r="1349" spans="1:6" ht="12">
      <c r="A1349" s="190">
        <v>240314</v>
      </c>
      <c r="B1349" s="171" t="s">
        <v>991</v>
      </c>
      <c r="C1349" s="169" t="s">
        <v>2421</v>
      </c>
      <c r="D1349" s="178" t="s">
        <v>1269</v>
      </c>
      <c r="E1349" s="121">
        <v>2713</v>
      </c>
      <c r="F1349" s="120">
        <v>0</v>
      </c>
    </row>
    <row r="1350" spans="1:6" ht="12">
      <c r="A1350" s="190">
        <v>240314</v>
      </c>
      <c r="B1350" s="171" t="s">
        <v>991</v>
      </c>
      <c r="C1350" s="169" t="s">
        <v>2422</v>
      </c>
      <c r="D1350" s="178" t="s">
        <v>2423</v>
      </c>
      <c r="E1350" s="121">
        <v>5381</v>
      </c>
      <c r="F1350" s="120">
        <v>0</v>
      </c>
    </row>
    <row r="1351" spans="1:6" ht="12">
      <c r="A1351" s="190">
        <v>240314</v>
      </c>
      <c r="B1351" s="171" t="s">
        <v>991</v>
      </c>
      <c r="C1351" s="169" t="s">
        <v>2424</v>
      </c>
      <c r="D1351" s="178" t="s">
        <v>2425</v>
      </c>
      <c r="E1351" s="121">
        <v>11922</v>
      </c>
      <c r="F1351" s="120">
        <v>0</v>
      </c>
    </row>
    <row r="1352" spans="1:6" ht="12">
      <c r="A1352" s="190">
        <v>240314</v>
      </c>
      <c r="B1352" s="171" t="s">
        <v>991</v>
      </c>
      <c r="C1352" s="169" t="s">
        <v>2426</v>
      </c>
      <c r="D1352" s="178" t="s">
        <v>2427</v>
      </c>
      <c r="E1352" s="121">
        <v>32116</v>
      </c>
      <c r="F1352" s="120">
        <v>0</v>
      </c>
    </row>
    <row r="1353" spans="1:6" ht="12">
      <c r="A1353" s="190">
        <v>240314</v>
      </c>
      <c r="B1353" s="171" t="s">
        <v>991</v>
      </c>
      <c r="C1353" s="169" t="s">
        <v>2428</v>
      </c>
      <c r="D1353" s="178" t="s">
        <v>2429</v>
      </c>
      <c r="E1353" s="121">
        <v>12106</v>
      </c>
      <c r="F1353" s="120">
        <v>0</v>
      </c>
    </row>
    <row r="1354" spans="1:6" ht="12">
      <c r="A1354" s="190">
        <v>240314</v>
      </c>
      <c r="B1354" s="171" t="s">
        <v>991</v>
      </c>
      <c r="C1354" s="169" t="s">
        <v>2430</v>
      </c>
      <c r="D1354" s="178" t="s">
        <v>1011</v>
      </c>
      <c r="E1354" s="121">
        <v>9961</v>
      </c>
      <c r="F1354" s="120">
        <v>0</v>
      </c>
    </row>
    <row r="1355" spans="1:6" ht="12">
      <c r="A1355" s="190">
        <v>240314</v>
      </c>
      <c r="B1355" s="171" t="s">
        <v>991</v>
      </c>
      <c r="C1355" s="169" t="s">
        <v>2431</v>
      </c>
      <c r="D1355" s="178" t="s">
        <v>2432</v>
      </c>
      <c r="E1355" s="121">
        <v>4330</v>
      </c>
      <c r="F1355" s="120">
        <v>0</v>
      </c>
    </row>
    <row r="1356" spans="1:6" ht="12">
      <c r="A1356" s="190">
        <v>240314</v>
      </c>
      <c r="B1356" s="171" t="s">
        <v>991</v>
      </c>
      <c r="C1356" s="169" t="s">
        <v>2433</v>
      </c>
      <c r="D1356" s="178" t="s">
        <v>2434</v>
      </c>
      <c r="E1356" s="121">
        <v>6323</v>
      </c>
      <c r="F1356" s="120">
        <v>0</v>
      </c>
    </row>
    <row r="1357" spans="1:6" ht="12">
      <c r="A1357" s="190">
        <v>240314</v>
      </c>
      <c r="B1357" s="171" t="s">
        <v>991</v>
      </c>
      <c r="C1357" s="169">
        <v>215568855</v>
      </c>
      <c r="D1357" s="178" t="s">
        <v>2435</v>
      </c>
      <c r="E1357" s="121">
        <v>5224</v>
      </c>
      <c r="F1357" s="120">
        <v>0</v>
      </c>
    </row>
    <row r="1358" spans="1:6" ht="12">
      <c r="A1358" s="190">
        <v>240314</v>
      </c>
      <c r="B1358" s="171" t="s">
        <v>991</v>
      </c>
      <c r="C1358" s="169" t="s">
        <v>2436</v>
      </c>
      <c r="D1358" s="178" t="s">
        <v>2437</v>
      </c>
      <c r="E1358" s="121">
        <v>24398</v>
      </c>
      <c r="F1358" s="120">
        <v>0</v>
      </c>
    </row>
    <row r="1359" spans="1:6" ht="12">
      <c r="A1359" s="190">
        <v>240314</v>
      </c>
      <c r="B1359" s="171" t="s">
        <v>991</v>
      </c>
      <c r="C1359" s="169" t="s">
        <v>2438</v>
      </c>
      <c r="D1359" s="178" t="s">
        <v>2439</v>
      </c>
      <c r="E1359" s="121">
        <v>1695</v>
      </c>
      <c r="F1359" s="120">
        <v>0</v>
      </c>
    </row>
    <row r="1360" spans="1:6" ht="12">
      <c r="A1360" s="190">
        <v>240314</v>
      </c>
      <c r="B1360" s="171" t="s">
        <v>991</v>
      </c>
      <c r="C1360" s="169" t="s">
        <v>2440</v>
      </c>
      <c r="D1360" s="178" t="s">
        <v>1427</v>
      </c>
      <c r="E1360" s="121">
        <v>6444</v>
      </c>
      <c r="F1360" s="120">
        <v>0</v>
      </c>
    </row>
    <row r="1361" spans="1:6" ht="12">
      <c r="A1361" s="190">
        <v>240314</v>
      </c>
      <c r="B1361" s="171" t="s">
        <v>991</v>
      </c>
      <c r="C1361" s="169" t="s">
        <v>2441</v>
      </c>
      <c r="D1361" s="178" t="s">
        <v>2442</v>
      </c>
      <c r="E1361" s="121">
        <v>9007</v>
      </c>
      <c r="F1361" s="120">
        <v>0</v>
      </c>
    </row>
    <row r="1362" spans="1:6" ht="12">
      <c r="A1362" s="190">
        <v>240314</v>
      </c>
      <c r="B1362" s="171" t="s">
        <v>991</v>
      </c>
      <c r="C1362" s="169">
        <v>211070110</v>
      </c>
      <c r="D1362" s="178" t="s">
        <v>1448</v>
      </c>
      <c r="E1362" s="121">
        <v>17285</v>
      </c>
      <c r="F1362" s="120">
        <v>0</v>
      </c>
    </row>
    <row r="1363" spans="1:6" ht="12">
      <c r="A1363" s="190">
        <v>240314</v>
      </c>
      <c r="B1363" s="171" t="s">
        <v>991</v>
      </c>
      <c r="C1363" s="169">
        <v>212470124</v>
      </c>
      <c r="D1363" s="178" t="s">
        <v>2443</v>
      </c>
      <c r="E1363" s="121">
        <v>24595</v>
      </c>
      <c r="F1363" s="120">
        <v>0</v>
      </c>
    </row>
    <row r="1364" spans="1:6" ht="12">
      <c r="A1364" s="190">
        <v>240314</v>
      </c>
      <c r="B1364" s="171" t="s">
        <v>991</v>
      </c>
      <c r="C1364" s="169">
        <v>210470204</v>
      </c>
      <c r="D1364" s="178" t="s">
        <v>2444</v>
      </c>
      <c r="E1364" s="121">
        <v>12494</v>
      </c>
      <c r="F1364" s="120">
        <v>0</v>
      </c>
    </row>
    <row r="1365" spans="1:6" ht="12">
      <c r="A1365" s="190">
        <v>240314</v>
      </c>
      <c r="B1365" s="171" t="s">
        <v>991</v>
      </c>
      <c r="C1365" s="169">
        <v>211570215</v>
      </c>
      <c r="D1365" s="178" t="s">
        <v>2445</v>
      </c>
      <c r="E1365" s="121">
        <v>82968</v>
      </c>
      <c r="F1365" s="120">
        <v>0</v>
      </c>
    </row>
    <row r="1366" spans="1:6" ht="12">
      <c r="A1366" s="190">
        <v>240314</v>
      </c>
      <c r="B1366" s="171" t="s">
        <v>991</v>
      </c>
      <c r="C1366" s="169" t="s">
        <v>2446</v>
      </c>
      <c r="D1366" s="178" t="s">
        <v>2447</v>
      </c>
      <c r="E1366" s="121">
        <v>21633</v>
      </c>
      <c r="F1366" s="120">
        <v>0</v>
      </c>
    </row>
    <row r="1367" spans="1:6" ht="12">
      <c r="A1367" s="190">
        <v>240314</v>
      </c>
      <c r="B1367" s="171" t="s">
        <v>991</v>
      </c>
      <c r="C1367" s="169">
        <v>213070230</v>
      </c>
      <c r="D1367" s="178" t="s">
        <v>2448</v>
      </c>
      <c r="E1367" s="121">
        <v>8362</v>
      </c>
      <c r="F1367" s="120">
        <v>0</v>
      </c>
    </row>
    <row r="1368" spans="1:6" ht="12">
      <c r="A1368" s="190">
        <v>240314</v>
      </c>
      <c r="B1368" s="171" t="s">
        <v>991</v>
      </c>
      <c r="C1368" s="169">
        <v>213370233</v>
      </c>
      <c r="D1368" s="178" t="s">
        <v>2449</v>
      </c>
      <c r="E1368" s="121">
        <v>14224</v>
      </c>
      <c r="F1368" s="120">
        <v>0</v>
      </c>
    </row>
    <row r="1369" spans="1:6" ht="12">
      <c r="A1369" s="190">
        <v>240314</v>
      </c>
      <c r="B1369" s="171" t="s">
        <v>991</v>
      </c>
      <c r="C1369" s="169">
        <v>213570235</v>
      </c>
      <c r="D1369" s="178" t="s">
        <v>2450</v>
      </c>
      <c r="E1369" s="121">
        <v>32160</v>
      </c>
      <c r="F1369" s="120">
        <v>0</v>
      </c>
    </row>
    <row r="1370" spans="1:6" ht="12">
      <c r="A1370" s="190">
        <v>240314</v>
      </c>
      <c r="B1370" s="171" t="s">
        <v>991</v>
      </c>
      <c r="C1370" s="169">
        <v>216570265</v>
      </c>
      <c r="D1370" s="178" t="s">
        <v>2451</v>
      </c>
      <c r="E1370" s="121">
        <v>31396</v>
      </c>
      <c r="F1370" s="120">
        <v>0</v>
      </c>
    </row>
    <row r="1371" spans="1:6" ht="12">
      <c r="A1371" s="190">
        <v>240314</v>
      </c>
      <c r="B1371" s="171" t="s">
        <v>991</v>
      </c>
      <c r="C1371" s="169">
        <v>210070400</v>
      </c>
      <c r="D1371" s="178" t="s">
        <v>1202</v>
      </c>
      <c r="E1371" s="121">
        <v>21108</v>
      </c>
      <c r="F1371" s="120">
        <v>0</v>
      </c>
    </row>
    <row r="1372" spans="1:6" ht="12">
      <c r="A1372" s="190">
        <v>240314</v>
      </c>
      <c r="B1372" s="171" t="s">
        <v>991</v>
      </c>
      <c r="C1372" s="169">
        <v>211870418</v>
      </c>
      <c r="D1372" s="178" t="s">
        <v>2452</v>
      </c>
      <c r="E1372" s="121">
        <v>38544</v>
      </c>
      <c r="F1372" s="120">
        <v>0</v>
      </c>
    </row>
    <row r="1373" spans="1:6" ht="12">
      <c r="A1373" s="190">
        <v>240314</v>
      </c>
      <c r="B1373" s="171" t="s">
        <v>991</v>
      </c>
      <c r="C1373" s="169">
        <v>212970429</v>
      </c>
      <c r="D1373" s="178" t="s">
        <v>2453</v>
      </c>
      <c r="E1373" s="121">
        <v>74610</v>
      </c>
      <c r="F1373" s="120">
        <v>0</v>
      </c>
    </row>
    <row r="1374" spans="1:6" ht="12">
      <c r="A1374" s="190">
        <v>240314</v>
      </c>
      <c r="B1374" s="171" t="s">
        <v>991</v>
      </c>
      <c r="C1374" s="169">
        <v>217370473</v>
      </c>
      <c r="D1374" s="178" t="s">
        <v>2454</v>
      </c>
      <c r="E1374" s="121">
        <v>21341</v>
      </c>
      <c r="F1374" s="120">
        <v>0</v>
      </c>
    </row>
    <row r="1375" spans="1:6" ht="12">
      <c r="A1375" s="190">
        <v>240314</v>
      </c>
      <c r="B1375" s="171" t="s">
        <v>991</v>
      </c>
      <c r="C1375" s="169">
        <v>210870508</v>
      </c>
      <c r="D1375" s="178" t="s">
        <v>2455</v>
      </c>
      <c r="E1375" s="121">
        <v>38834</v>
      </c>
      <c r="F1375" s="120">
        <v>0</v>
      </c>
    </row>
    <row r="1376" spans="1:6" ht="12">
      <c r="A1376" s="190">
        <v>240314</v>
      </c>
      <c r="B1376" s="171" t="s">
        <v>991</v>
      </c>
      <c r="C1376" s="169">
        <v>212370523</v>
      </c>
      <c r="D1376" s="178" t="s">
        <v>2456</v>
      </c>
      <c r="E1376" s="121">
        <v>25182</v>
      </c>
      <c r="F1376" s="120">
        <v>0</v>
      </c>
    </row>
    <row r="1377" spans="1:6" ht="12">
      <c r="A1377" s="190">
        <v>240314</v>
      </c>
      <c r="B1377" s="171" t="s">
        <v>991</v>
      </c>
      <c r="C1377" s="169">
        <v>217070670</v>
      </c>
      <c r="D1377" s="178" t="s">
        <v>2457</v>
      </c>
      <c r="E1377" s="121">
        <v>70878</v>
      </c>
      <c r="F1377" s="120">
        <v>0</v>
      </c>
    </row>
    <row r="1378" spans="1:6" ht="12">
      <c r="A1378" s="190">
        <v>240314</v>
      </c>
      <c r="B1378" s="171" t="s">
        <v>991</v>
      </c>
      <c r="C1378" s="169">
        <v>217870678</v>
      </c>
      <c r="D1378" s="178" t="s">
        <v>2458</v>
      </c>
      <c r="E1378" s="121">
        <v>48796</v>
      </c>
      <c r="F1378" s="120">
        <v>0</v>
      </c>
    </row>
    <row r="1379" spans="1:6" ht="12">
      <c r="A1379" s="190">
        <v>240314</v>
      </c>
      <c r="B1379" s="171" t="s">
        <v>991</v>
      </c>
      <c r="C1379" s="169">
        <v>210270702</v>
      </c>
      <c r="D1379" s="178" t="s">
        <v>2459</v>
      </c>
      <c r="E1379" s="121">
        <v>20449</v>
      </c>
      <c r="F1379" s="120">
        <v>0</v>
      </c>
    </row>
    <row r="1380" spans="1:6" ht="12">
      <c r="A1380" s="190">
        <v>240314</v>
      </c>
      <c r="B1380" s="171" t="s">
        <v>991</v>
      </c>
      <c r="C1380" s="169">
        <v>210870708</v>
      </c>
      <c r="D1380" s="178" t="s">
        <v>2460</v>
      </c>
      <c r="E1380" s="121">
        <v>83538</v>
      </c>
      <c r="F1380" s="120">
        <v>0</v>
      </c>
    </row>
    <row r="1381" spans="1:6" ht="12">
      <c r="A1381" s="190">
        <v>240314</v>
      </c>
      <c r="B1381" s="171" t="s">
        <v>991</v>
      </c>
      <c r="C1381" s="169">
        <v>211370713</v>
      </c>
      <c r="D1381" s="178" t="s">
        <v>2461</v>
      </c>
      <c r="E1381" s="121">
        <v>98488</v>
      </c>
      <c r="F1381" s="120">
        <v>0</v>
      </c>
    </row>
    <row r="1382" spans="1:6" ht="12">
      <c r="A1382" s="190">
        <v>240314</v>
      </c>
      <c r="B1382" s="171" t="s">
        <v>991</v>
      </c>
      <c r="C1382" s="169">
        <v>211770717</v>
      </c>
      <c r="D1382" s="178" t="s">
        <v>1259</v>
      </c>
      <c r="E1382" s="121">
        <v>30167</v>
      </c>
      <c r="F1382" s="120">
        <v>0</v>
      </c>
    </row>
    <row r="1383" spans="1:6" ht="12">
      <c r="A1383" s="190">
        <v>240314</v>
      </c>
      <c r="B1383" s="171" t="s">
        <v>991</v>
      </c>
      <c r="C1383" s="169">
        <v>214270742</v>
      </c>
      <c r="D1383" s="178" t="s">
        <v>2462</v>
      </c>
      <c r="E1383" s="121">
        <v>42573</v>
      </c>
      <c r="F1383" s="120">
        <v>0</v>
      </c>
    </row>
    <row r="1384" spans="1:6" ht="12">
      <c r="A1384" s="190">
        <v>240314</v>
      </c>
      <c r="B1384" s="171" t="s">
        <v>991</v>
      </c>
      <c r="C1384" s="169">
        <v>217170771</v>
      </c>
      <c r="D1384" s="178" t="s">
        <v>1011</v>
      </c>
      <c r="E1384" s="121">
        <v>52251</v>
      </c>
      <c r="F1384" s="120">
        <v>0</v>
      </c>
    </row>
    <row r="1385" spans="1:6" ht="12">
      <c r="A1385" s="190">
        <v>240314</v>
      </c>
      <c r="B1385" s="171" t="s">
        <v>991</v>
      </c>
      <c r="C1385" s="169">
        <v>212070820</v>
      </c>
      <c r="D1385" s="178" t="s">
        <v>2463</v>
      </c>
      <c r="E1385" s="121">
        <v>40316</v>
      </c>
      <c r="F1385" s="120">
        <v>0</v>
      </c>
    </row>
    <row r="1386" spans="1:6" ht="12">
      <c r="A1386" s="190">
        <v>240314</v>
      </c>
      <c r="B1386" s="171" t="s">
        <v>991</v>
      </c>
      <c r="C1386" s="169">
        <v>212370823</v>
      </c>
      <c r="D1386" s="178" t="s">
        <v>2464</v>
      </c>
      <c r="E1386" s="121">
        <v>34921</v>
      </c>
      <c r="F1386" s="120">
        <v>0</v>
      </c>
    </row>
    <row r="1387" spans="1:6" ht="12">
      <c r="A1387" s="190">
        <v>240314</v>
      </c>
      <c r="B1387" s="171" t="s">
        <v>991</v>
      </c>
      <c r="C1387" s="169">
        <v>212473024</v>
      </c>
      <c r="D1387" s="178" t="s">
        <v>2465</v>
      </c>
      <c r="E1387" s="121">
        <v>5833</v>
      </c>
      <c r="F1387" s="120">
        <v>0</v>
      </c>
    </row>
    <row r="1388" spans="1:6" ht="12">
      <c r="A1388" s="190">
        <v>240314</v>
      </c>
      <c r="B1388" s="171" t="s">
        <v>991</v>
      </c>
      <c r="C1388" s="169">
        <v>212673026</v>
      </c>
      <c r="D1388" s="178" t="s">
        <v>2466</v>
      </c>
      <c r="E1388" s="121">
        <v>10830</v>
      </c>
      <c r="F1388" s="120">
        <v>0</v>
      </c>
    </row>
    <row r="1389" spans="1:6" ht="12">
      <c r="A1389" s="190">
        <v>240314</v>
      </c>
      <c r="B1389" s="171" t="s">
        <v>991</v>
      </c>
      <c r="C1389" s="169">
        <v>213073030</v>
      </c>
      <c r="D1389" s="178" t="s">
        <v>2467</v>
      </c>
      <c r="E1389" s="121">
        <v>10254</v>
      </c>
      <c r="F1389" s="120">
        <v>0</v>
      </c>
    </row>
    <row r="1390" spans="1:6" ht="12">
      <c r="A1390" s="190">
        <v>240314</v>
      </c>
      <c r="B1390" s="171" t="s">
        <v>991</v>
      </c>
      <c r="C1390" s="169">
        <v>214373043</v>
      </c>
      <c r="D1390" s="178" t="s">
        <v>2468</v>
      </c>
      <c r="E1390" s="121">
        <v>12545</v>
      </c>
      <c r="F1390" s="120">
        <v>0</v>
      </c>
    </row>
    <row r="1391" spans="1:6" ht="12">
      <c r="A1391" s="190">
        <v>240314</v>
      </c>
      <c r="B1391" s="171" t="s">
        <v>991</v>
      </c>
      <c r="C1391" s="169">
        <v>215573055</v>
      </c>
      <c r="D1391" s="178" t="s">
        <v>2469</v>
      </c>
      <c r="E1391" s="121">
        <v>17535</v>
      </c>
      <c r="F1391" s="120">
        <v>0</v>
      </c>
    </row>
    <row r="1392" spans="1:6" ht="12">
      <c r="A1392" s="190">
        <v>240314</v>
      </c>
      <c r="B1392" s="171" t="s">
        <v>991</v>
      </c>
      <c r="C1392" s="169">
        <v>216773067</v>
      </c>
      <c r="D1392" s="178" t="s">
        <v>2470</v>
      </c>
      <c r="E1392" s="121">
        <v>32161</v>
      </c>
      <c r="F1392" s="120">
        <v>0</v>
      </c>
    </row>
    <row r="1393" spans="1:6" ht="12">
      <c r="A1393" s="190">
        <v>240314</v>
      </c>
      <c r="B1393" s="171" t="s">
        <v>991</v>
      </c>
      <c r="C1393" s="169">
        <v>212473124</v>
      </c>
      <c r="D1393" s="178" t="s">
        <v>2471</v>
      </c>
      <c r="E1393" s="121">
        <v>22062</v>
      </c>
      <c r="F1393" s="120">
        <v>0</v>
      </c>
    </row>
    <row r="1394" spans="1:6" ht="12">
      <c r="A1394" s="190">
        <v>240314</v>
      </c>
      <c r="B1394" s="171" t="s">
        <v>991</v>
      </c>
      <c r="C1394" s="169">
        <v>214873148</v>
      </c>
      <c r="D1394" s="178" t="s">
        <v>2472</v>
      </c>
      <c r="E1394" s="121">
        <v>9376</v>
      </c>
      <c r="F1394" s="120">
        <v>0</v>
      </c>
    </row>
    <row r="1395" spans="1:6" ht="12">
      <c r="A1395" s="190">
        <v>240314</v>
      </c>
      <c r="B1395" s="171" t="s">
        <v>991</v>
      </c>
      <c r="C1395" s="169">
        <v>215273152</v>
      </c>
      <c r="D1395" s="178" t="s">
        <v>2473</v>
      </c>
      <c r="E1395" s="121">
        <v>8049</v>
      </c>
      <c r="F1395" s="120">
        <v>0</v>
      </c>
    </row>
    <row r="1396" spans="1:6" ht="12">
      <c r="A1396" s="190">
        <v>240314</v>
      </c>
      <c r="B1396" s="171" t="s">
        <v>991</v>
      </c>
      <c r="C1396" s="169">
        <v>216873168</v>
      </c>
      <c r="D1396" s="178" t="s">
        <v>2474</v>
      </c>
      <c r="E1396" s="121">
        <v>68209</v>
      </c>
      <c r="F1396" s="120">
        <v>0</v>
      </c>
    </row>
    <row r="1397" spans="1:6" ht="12">
      <c r="A1397" s="190">
        <v>240314</v>
      </c>
      <c r="B1397" s="171" t="s">
        <v>991</v>
      </c>
      <c r="C1397" s="169">
        <v>210073200</v>
      </c>
      <c r="D1397" s="178" t="s">
        <v>2475</v>
      </c>
      <c r="E1397" s="121">
        <v>11445</v>
      </c>
      <c r="F1397" s="120">
        <v>0</v>
      </c>
    </row>
    <row r="1398" spans="1:6" ht="12">
      <c r="A1398" s="190">
        <v>240314</v>
      </c>
      <c r="B1398" s="171" t="s">
        <v>991</v>
      </c>
      <c r="C1398" s="169">
        <v>211773217</v>
      </c>
      <c r="D1398" s="178" t="s">
        <v>2476</v>
      </c>
      <c r="E1398" s="121">
        <v>55243</v>
      </c>
      <c r="F1398" s="120">
        <v>0</v>
      </c>
    </row>
    <row r="1399" spans="1:6" ht="12">
      <c r="A1399" s="190">
        <v>240314</v>
      </c>
      <c r="B1399" s="171" t="s">
        <v>991</v>
      </c>
      <c r="C1399" s="169">
        <v>212673226</v>
      </c>
      <c r="D1399" s="178" t="s">
        <v>2477</v>
      </c>
      <c r="E1399" s="121">
        <v>12853</v>
      </c>
      <c r="F1399" s="120">
        <v>0</v>
      </c>
    </row>
    <row r="1400" spans="1:6" ht="12">
      <c r="A1400" s="190">
        <v>240314</v>
      </c>
      <c r="B1400" s="171" t="s">
        <v>991</v>
      </c>
      <c r="C1400" s="169">
        <v>213673236</v>
      </c>
      <c r="D1400" s="178" t="s">
        <v>2478</v>
      </c>
      <c r="E1400" s="121">
        <v>10935</v>
      </c>
      <c r="F1400" s="120">
        <v>0</v>
      </c>
    </row>
    <row r="1401" spans="1:6" ht="12">
      <c r="A1401" s="190">
        <v>240314</v>
      </c>
      <c r="B1401" s="171" t="s">
        <v>991</v>
      </c>
      <c r="C1401" s="169">
        <v>216873268</v>
      </c>
      <c r="D1401" s="178" t="s">
        <v>2479</v>
      </c>
      <c r="E1401" s="121">
        <v>75382</v>
      </c>
      <c r="F1401" s="120">
        <v>0</v>
      </c>
    </row>
    <row r="1402" spans="1:6" ht="12">
      <c r="A1402" s="190">
        <v>240314</v>
      </c>
      <c r="B1402" s="171" t="s">
        <v>991</v>
      </c>
      <c r="C1402" s="169">
        <v>217073270</v>
      </c>
      <c r="D1402" s="178" t="s">
        <v>2480</v>
      </c>
      <c r="E1402" s="121">
        <v>10789</v>
      </c>
      <c r="F1402" s="120">
        <v>0</v>
      </c>
    </row>
    <row r="1403" spans="1:6" ht="12">
      <c r="A1403" s="190">
        <v>240314</v>
      </c>
      <c r="B1403" s="171" t="s">
        <v>991</v>
      </c>
      <c r="C1403" s="169">
        <v>217573275</v>
      </c>
      <c r="D1403" s="178" t="s">
        <v>2481</v>
      </c>
      <c r="E1403" s="121">
        <v>28333</v>
      </c>
      <c r="F1403" s="120">
        <v>0</v>
      </c>
    </row>
    <row r="1404" spans="1:6" ht="12">
      <c r="A1404" s="190">
        <v>240314</v>
      </c>
      <c r="B1404" s="171" t="s">
        <v>991</v>
      </c>
      <c r="C1404" s="169">
        <v>218373283</v>
      </c>
      <c r="D1404" s="178" t="s">
        <v>2482</v>
      </c>
      <c r="E1404" s="121">
        <v>37125</v>
      </c>
      <c r="F1404" s="120">
        <v>0</v>
      </c>
    </row>
    <row r="1405" spans="1:6" ht="12">
      <c r="A1405" s="190">
        <v>240314</v>
      </c>
      <c r="B1405" s="171" t="s">
        <v>991</v>
      </c>
      <c r="C1405" s="169">
        <v>211973319</v>
      </c>
      <c r="D1405" s="178" t="s">
        <v>2483</v>
      </c>
      <c r="E1405" s="121">
        <v>41596</v>
      </c>
      <c r="F1405" s="120">
        <v>0</v>
      </c>
    </row>
    <row r="1406" spans="1:6" ht="12">
      <c r="A1406" s="190">
        <v>240314</v>
      </c>
      <c r="B1406" s="171" t="s">
        <v>991</v>
      </c>
      <c r="C1406" s="169">
        <v>214773347</v>
      </c>
      <c r="D1406" s="178" t="s">
        <v>2484</v>
      </c>
      <c r="E1406" s="121">
        <v>9552</v>
      </c>
      <c r="F1406" s="120">
        <v>0</v>
      </c>
    </row>
    <row r="1407" spans="1:6" ht="12">
      <c r="A1407" s="190">
        <v>240314</v>
      </c>
      <c r="B1407" s="171" t="s">
        <v>991</v>
      </c>
      <c r="C1407" s="169">
        <v>214973349</v>
      </c>
      <c r="D1407" s="178" t="s">
        <v>2485</v>
      </c>
      <c r="E1407" s="121">
        <v>31329</v>
      </c>
      <c r="F1407" s="120">
        <v>0</v>
      </c>
    </row>
    <row r="1408" spans="1:6" ht="12">
      <c r="A1408" s="190">
        <v>240314</v>
      </c>
      <c r="B1408" s="171" t="s">
        <v>991</v>
      </c>
      <c r="C1408" s="169">
        <v>215273352</v>
      </c>
      <c r="D1408" s="178" t="s">
        <v>2486</v>
      </c>
      <c r="E1408" s="121">
        <v>16501</v>
      </c>
      <c r="F1408" s="120">
        <v>0</v>
      </c>
    </row>
    <row r="1409" spans="1:6" ht="12">
      <c r="A1409" s="190">
        <v>240314</v>
      </c>
      <c r="B1409" s="171" t="s">
        <v>991</v>
      </c>
      <c r="C1409" s="169">
        <v>210873408</v>
      </c>
      <c r="D1409" s="178" t="s">
        <v>2487</v>
      </c>
      <c r="E1409" s="121">
        <v>22192</v>
      </c>
      <c r="F1409" s="120">
        <v>0</v>
      </c>
    </row>
    <row r="1410" spans="1:6" ht="12">
      <c r="A1410" s="190">
        <v>240314</v>
      </c>
      <c r="B1410" s="171" t="s">
        <v>991</v>
      </c>
      <c r="C1410" s="169">
        <v>211173411</v>
      </c>
      <c r="D1410" s="178" t="s">
        <v>2488</v>
      </c>
      <c r="E1410" s="121">
        <v>50192</v>
      </c>
      <c r="F1410" s="120">
        <v>0</v>
      </c>
    </row>
    <row r="1411" spans="1:6" ht="12">
      <c r="A1411" s="190">
        <v>240314</v>
      </c>
      <c r="B1411" s="171" t="s">
        <v>991</v>
      </c>
      <c r="C1411" s="169">
        <v>214373443</v>
      </c>
      <c r="D1411" s="178" t="s">
        <v>2489</v>
      </c>
      <c r="E1411" s="121">
        <v>39056</v>
      </c>
      <c r="F1411" s="120">
        <v>0</v>
      </c>
    </row>
    <row r="1412" spans="1:6" ht="12">
      <c r="A1412" s="190">
        <v>240314</v>
      </c>
      <c r="B1412" s="171" t="s">
        <v>991</v>
      </c>
      <c r="C1412" s="169">
        <v>214973449</v>
      </c>
      <c r="D1412" s="178" t="s">
        <v>2490</v>
      </c>
      <c r="E1412" s="121">
        <v>41075</v>
      </c>
      <c r="F1412" s="120">
        <v>0</v>
      </c>
    </row>
    <row r="1413" spans="1:6" ht="12">
      <c r="A1413" s="190">
        <v>240314</v>
      </c>
      <c r="B1413" s="171" t="s">
        <v>991</v>
      </c>
      <c r="C1413" s="169">
        <v>216173461</v>
      </c>
      <c r="D1413" s="178" t="s">
        <v>2491</v>
      </c>
      <c r="E1413" s="121">
        <v>6348</v>
      </c>
      <c r="F1413" s="120">
        <v>0</v>
      </c>
    </row>
    <row r="1414" spans="1:6" ht="12">
      <c r="A1414" s="190">
        <v>240314</v>
      </c>
      <c r="B1414" s="171" t="s">
        <v>991</v>
      </c>
      <c r="C1414" s="169">
        <v>218373483</v>
      </c>
      <c r="D1414" s="178" t="s">
        <v>2492</v>
      </c>
      <c r="E1414" s="121">
        <v>24685</v>
      </c>
      <c r="F1414" s="120">
        <v>0</v>
      </c>
    </row>
    <row r="1415" spans="1:6" ht="12">
      <c r="A1415" s="190">
        <v>240314</v>
      </c>
      <c r="B1415" s="171" t="s">
        <v>991</v>
      </c>
      <c r="C1415" s="169">
        <v>210473504</v>
      </c>
      <c r="D1415" s="178" t="s">
        <v>2493</v>
      </c>
      <c r="E1415" s="121">
        <v>56240</v>
      </c>
      <c r="F1415" s="120">
        <v>0</v>
      </c>
    </row>
    <row r="1416" spans="1:6" ht="12">
      <c r="A1416" s="190">
        <v>240314</v>
      </c>
      <c r="B1416" s="171" t="s">
        <v>991</v>
      </c>
      <c r="C1416" s="169">
        <v>212073520</v>
      </c>
      <c r="D1416" s="178" t="s">
        <v>2494</v>
      </c>
      <c r="E1416" s="121">
        <v>11036</v>
      </c>
      <c r="F1416" s="120">
        <v>0</v>
      </c>
    </row>
    <row r="1417" spans="1:6" ht="12">
      <c r="A1417" s="190">
        <v>240314</v>
      </c>
      <c r="B1417" s="171" t="s">
        <v>991</v>
      </c>
      <c r="C1417" s="169">
        <v>214773547</v>
      </c>
      <c r="D1417" s="178" t="s">
        <v>2495</v>
      </c>
      <c r="E1417" s="121">
        <v>6323</v>
      </c>
      <c r="F1417" s="120">
        <v>0</v>
      </c>
    </row>
    <row r="1418" spans="1:6" ht="12">
      <c r="A1418" s="190">
        <v>240314</v>
      </c>
      <c r="B1418" s="171" t="s">
        <v>991</v>
      </c>
      <c r="C1418" s="169">
        <v>215573555</v>
      </c>
      <c r="D1418" s="178" t="s">
        <v>2496</v>
      </c>
      <c r="E1418" s="121">
        <v>45780</v>
      </c>
      <c r="F1418" s="120">
        <v>0</v>
      </c>
    </row>
    <row r="1419" spans="1:6" ht="12">
      <c r="A1419" s="190">
        <v>240314</v>
      </c>
      <c r="B1419" s="171" t="s">
        <v>991</v>
      </c>
      <c r="C1419" s="169">
        <v>216373563</v>
      </c>
      <c r="D1419" s="178" t="s">
        <v>2497</v>
      </c>
      <c r="E1419" s="121">
        <v>12020</v>
      </c>
      <c r="F1419" s="120">
        <v>0</v>
      </c>
    </row>
    <row r="1420" spans="1:6" ht="12">
      <c r="A1420" s="190">
        <v>240314</v>
      </c>
      <c r="B1420" s="171" t="s">
        <v>991</v>
      </c>
      <c r="C1420" s="169">
        <v>218573585</v>
      </c>
      <c r="D1420" s="178" t="s">
        <v>2498</v>
      </c>
      <c r="E1420" s="121">
        <v>28314</v>
      </c>
      <c r="F1420" s="120">
        <v>0</v>
      </c>
    </row>
    <row r="1421" spans="1:6" ht="12">
      <c r="A1421" s="190">
        <v>240314</v>
      </c>
      <c r="B1421" s="171" t="s">
        <v>991</v>
      </c>
      <c r="C1421" s="169">
        <v>211673616</v>
      </c>
      <c r="D1421" s="178" t="s">
        <v>2499</v>
      </c>
      <c r="E1421" s="121">
        <v>39619</v>
      </c>
      <c r="F1421" s="120">
        <v>0</v>
      </c>
    </row>
    <row r="1422" spans="1:6" ht="12">
      <c r="A1422" s="190">
        <v>240314</v>
      </c>
      <c r="B1422" s="171" t="s">
        <v>991</v>
      </c>
      <c r="C1422" s="169">
        <v>212273622</v>
      </c>
      <c r="D1422" s="178" t="s">
        <v>2500</v>
      </c>
      <c r="E1422" s="121">
        <v>7776</v>
      </c>
      <c r="F1422" s="120">
        <v>0</v>
      </c>
    </row>
    <row r="1423" spans="1:6" ht="12">
      <c r="A1423" s="190">
        <v>240314</v>
      </c>
      <c r="B1423" s="171" t="s">
        <v>991</v>
      </c>
      <c r="C1423" s="169">
        <v>212473624</v>
      </c>
      <c r="D1423" s="178" t="s">
        <v>2501</v>
      </c>
      <c r="E1423" s="121">
        <v>31680</v>
      </c>
      <c r="F1423" s="120">
        <v>0</v>
      </c>
    </row>
    <row r="1424" spans="1:6" ht="12">
      <c r="A1424" s="190">
        <v>240314</v>
      </c>
      <c r="B1424" s="171" t="s">
        <v>991</v>
      </c>
      <c r="C1424" s="169">
        <v>217173671</v>
      </c>
      <c r="D1424" s="178" t="s">
        <v>2502</v>
      </c>
      <c r="E1424" s="121">
        <v>18914</v>
      </c>
      <c r="F1424" s="120">
        <v>0</v>
      </c>
    </row>
    <row r="1425" spans="1:6" ht="12">
      <c r="A1425" s="190">
        <v>240314</v>
      </c>
      <c r="B1425" s="171" t="s">
        <v>991</v>
      </c>
      <c r="C1425" s="169">
        <v>217573675</v>
      </c>
      <c r="D1425" s="178" t="s">
        <v>2503</v>
      </c>
      <c r="E1425" s="121">
        <v>18523</v>
      </c>
      <c r="F1425" s="120">
        <v>0</v>
      </c>
    </row>
    <row r="1426" spans="1:6" ht="12">
      <c r="A1426" s="190">
        <v>240314</v>
      </c>
      <c r="B1426" s="171" t="s">
        <v>991</v>
      </c>
      <c r="C1426" s="169">
        <v>217873678</v>
      </c>
      <c r="D1426" s="178" t="s">
        <v>1257</v>
      </c>
      <c r="E1426" s="121">
        <v>17940</v>
      </c>
      <c r="F1426" s="120">
        <v>0</v>
      </c>
    </row>
    <row r="1427" spans="1:6" ht="12">
      <c r="A1427" s="190">
        <v>240314</v>
      </c>
      <c r="B1427" s="171" t="s">
        <v>991</v>
      </c>
      <c r="C1427" s="169">
        <v>218673686</v>
      </c>
      <c r="D1427" s="178" t="s">
        <v>2504</v>
      </c>
      <c r="E1427" s="121">
        <v>9507</v>
      </c>
      <c r="F1427" s="120">
        <v>0</v>
      </c>
    </row>
    <row r="1428" spans="1:6" ht="12">
      <c r="A1428" s="190">
        <v>240314</v>
      </c>
      <c r="B1428" s="171" t="s">
        <v>991</v>
      </c>
      <c r="C1428" s="169">
        <v>217073770</v>
      </c>
      <c r="D1428" s="178" t="s">
        <v>1700</v>
      </c>
      <c r="E1428" s="121">
        <v>6016</v>
      </c>
      <c r="F1428" s="120">
        <v>0</v>
      </c>
    </row>
    <row r="1429" spans="1:6" ht="12">
      <c r="A1429" s="190">
        <v>240314</v>
      </c>
      <c r="B1429" s="171" t="s">
        <v>991</v>
      </c>
      <c r="C1429" s="169">
        <v>215473854</v>
      </c>
      <c r="D1429" s="178" t="s">
        <v>2505</v>
      </c>
      <c r="E1429" s="121">
        <v>7292</v>
      </c>
      <c r="F1429" s="120">
        <v>0</v>
      </c>
    </row>
    <row r="1430" spans="1:6" ht="12">
      <c r="A1430" s="190">
        <v>240314</v>
      </c>
      <c r="B1430" s="171" t="s">
        <v>991</v>
      </c>
      <c r="C1430" s="169">
        <v>216173861</v>
      </c>
      <c r="D1430" s="178" t="s">
        <v>2506</v>
      </c>
      <c r="E1430" s="121">
        <v>17162</v>
      </c>
      <c r="F1430" s="120">
        <v>0</v>
      </c>
    </row>
    <row r="1431" spans="1:6" ht="12">
      <c r="A1431" s="190">
        <v>240314</v>
      </c>
      <c r="B1431" s="171" t="s">
        <v>991</v>
      </c>
      <c r="C1431" s="169">
        <v>217073870</v>
      </c>
      <c r="D1431" s="178" t="s">
        <v>2507</v>
      </c>
      <c r="E1431" s="121">
        <v>13554</v>
      </c>
      <c r="F1431" s="120">
        <v>0</v>
      </c>
    </row>
    <row r="1432" spans="1:6" ht="12">
      <c r="A1432" s="190">
        <v>240314</v>
      </c>
      <c r="B1432" s="171" t="s">
        <v>991</v>
      </c>
      <c r="C1432" s="169">
        <v>217373873</v>
      </c>
      <c r="D1432" s="178" t="s">
        <v>2508</v>
      </c>
      <c r="E1432" s="121">
        <v>7413</v>
      </c>
      <c r="F1432" s="120">
        <v>0</v>
      </c>
    </row>
    <row r="1433" spans="1:6" ht="12">
      <c r="A1433" s="190">
        <v>240314</v>
      </c>
      <c r="B1433" s="171" t="s">
        <v>991</v>
      </c>
      <c r="C1433" s="169">
        <v>212076020</v>
      </c>
      <c r="D1433" s="178" t="s">
        <v>2509</v>
      </c>
      <c r="E1433" s="121">
        <v>18332</v>
      </c>
      <c r="F1433" s="120">
        <v>0</v>
      </c>
    </row>
    <row r="1434" spans="1:6" ht="12">
      <c r="A1434" s="190">
        <v>240314</v>
      </c>
      <c r="B1434" s="171" t="s">
        <v>991</v>
      </c>
      <c r="C1434" s="169">
        <v>213676036</v>
      </c>
      <c r="D1434" s="178" t="s">
        <v>2510</v>
      </c>
      <c r="E1434" s="121">
        <v>22989</v>
      </c>
      <c r="F1434" s="120">
        <v>0</v>
      </c>
    </row>
    <row r="1435" spans="1:6" ht="12">
      <c r="A1435" s="190">
        <v>240314</v>
      </c>
      <c r="B1435" s="171" t="s">
        <v>991</v>
      </c>
      <c r="C1435" s="169">
        <v>214176041</v>
      </c>
      <c r="D1435" s="178" t="s">
        <v>2511</v>
      </c>
      <c r="E1435" s="121">
        <v>20851</v>
      </c>
      <c r="F1435" s="120">
        <v>0</v>
      </c>
    </row>
    <row r="1436" spans="1:6" ht="12">
      <c r="A1436" s="190">
        <v>240314</v>
      </c>
      <c r="B1436" s="171" t="s">
        <v>991</v>
      </c>
      <c r="C1436" s="169">
        <v>215476054</v>
      </c>
      <c r="D1436" s="178" t="s">
        <v>1114</v>
      </c>
      <c r="E1436" s="121">
        <v>7483</v>
      </c>
      <c r="F1436" s="120">
        <v>0</v>
      </c>
    </row>
    <row r="1437" spans="1:6" ht="12">
      <c r="A1437" s="190">
        <v>240314</v>
      </c>
      <c r="B1437" s="171" t="s">
        <v>991</v>
      </c>
      <c r="C1437" s="169">
        <v>210076100</v>
      </c>
      <c r="D1437" s="178" t="s">
        <v>994</v>
      </c>
      <c r="E1437" s="121">
        <v>19619</v>
      </c>
      <c r="F1437" s="120">
        <v>0</v>
      </c>
    </row>
    <row r="1438" spans="1:6" ht="12">
      <c r="A1438" s="190">
        <v>240314</v>
      </c>
      <c r="B1438" s="171" t="s">
        <v>991</v>
      </c>
      <c r="C1438" s="169">
        <v>211376113</v>
      </c>
      <c r="D1438" s="178" t="s">
        <v>2512</v>
      </c>
      <c r="E1438" s="121">
        <v>15287</v>
      </c>
      <c r="F1438" s="120">
        <v>0</v>
      </c>
    </row>
    <row r="1439" spans="1:6" ht="12">
      <c r="A1439" s="190">
        <v>240314</v>
      </c>
      <c r="B1439" s="171" t="s">
        <v>991</v>
      </c>
      <c r="C1439" s="169">
        <v>212276122</v>
      </c>
      <c r="D1439" s="178" t="s">
        <v>2513</v>
      </c>
      <c r="E1439" s="121">
        <v>35140</v>
      </c>
      <c r="F1439" s="120">
        <v>0</v>
      </c>
    </row>
    <row r="1440" spans="1:6" ht="12">
      <c r="A1440" s="190">
        <v>240314</v>
      </c>
      <c r="B1440" s="171" t="s">
        <v>991</v>
      </c>
      <c r="C1440" s="169">
        <v>212676126</v>
      </c>
      <c r="D1440" s="178" t="s">
        <v>2514</v>
      </c>
      <c r="E1440" s="121">
        <v>19775</v>
      </c>
      <c r="F1440" s="120">
        <v>0</v>
      </c>
    </row>
    <row r="1441" spans="1:6" ht="12">
      <c r="A1441" s="190">
        <v>240314</v>
      </c>
      <c r="B1441" s="171" t="s">
        <v>991</v>
      </c>
      <c r="C1441" s="169">
        <v>213076130</v>
      </c>
      <c r="D1441" s="178" t="s">
        <v>1320</v>
      </c>
      <c r="E1441" s="121">
        <v>68871</v>
      </c>
      <c r="F1441" s="120">
        <v>0</v>
      </c>
    </row>
    <row r="1442" spans="1:6" ht="12">
      <c r="A1442" s="190">
        <v>240314</v>
      </c>
      <c r="B1442" s="171" t="s">
        <v>991</v>
      </c>
      <c r="C1442" s="169">
        <v>213376233</v>
      </c>
      <c r="D1442" s="178" t="s">
        <v>2515</v>
      </c>
      <c r="E1442" s="121">
        <v>38754</v>
      </c>
      <c r="F1442" s="120">
        <v>0</v>
      </c>
    </row>
    <row r="1443" spans="1:6" ht="12">
      <c r="A1443" s="190">
        <v>240314</v>
      </c>
      <c r="B1443" s="171" t="s">
        <v>991</v>
      </c>
      <c r="C1443" s="169">
        <v>214376243</v>
      </c>
      <c r="D1443" s="178" t="s">
        <v>2516</v>
      </c>
      <c r="E1443" s="121">
        <v>11677</v>
      </c>
      <c r="F1443" s="120">
        <v>0</v>
      </c>
    </row>
    <row r="1444" spans="1:6" ht="12">
      <c r="A1444" s="190">
        <v>240314</v>
      </c>
      <c r="B1444" s="171" t="s">
        <v>991</v>
      </c>
      <c r="C1444" s="169">
        <v>214676246</v>
      </c>
      <c r="D1444" s="178" t="s">
        <v>2517</v>
      </c>
      <c r="E1444" s="121">
        <v>9689</v>
      </c>
      <c r="F1444" s="120">
        <v>0</v>
      </c>
    </row>
    <row r="1445" spans="1:6" ht="12">
      <c r="A1445" s="190">
        <v>240314</v>
      </c>
      <c r="B1445" s="171" t="s">
        <v>991</v>
      </c>
      <c r="C1445" s="169">
        <v>214876248</v>
      </c>
      <c r="D1445" s="178" t="s">
        <v>2518</v>
      </c>
      <c r="E1445" s="121">
        <v>50666</v>
      </c>
      <c r="F1445" s="120">
        <v>0</v>
      </c>
    </row>
    <row r="1446" spans="1:6" ht="12">
      <c r="A1446" s="190">
        <v>240314</v>
      </c>
      <c r="B1446" s="171" t="s">
        <v>991</v>
      </c>
      <c r="C1446" s="169">
        <v>215076250</v>
      </c>
      <c r="D1446" s="178" t="s">
        <v>2519</v>
      </c>
      <c r="E1446" s="121">
        <v>18398</v>
      </c>
      <c r="F1446" s="120">
        <v>0</v>
      </c>
    </row>
    <row r="1447" spans="1:6" ht="12">
      <c r="A1447" s="190">
        <v>240314</v>
      </c>
      <c r="B1447" s="171" t="s">
        <v>991</v>
      </c>
      <c r="C1447" s="169">
        <v>217576275</v>
      </c>
      <c r="D1447" s="178" t="s">
        <v>2520</v>
      </c>
      <c r="E1447" s="121">
        <v>61924</v>
      </c>
      <c r="F1447" s="120">
        <v>0</v>
      </c>
    </row>
    <row r="1448" spans="1:6" ht="12">
      <c r="A1448" s="190">
        <v>240314</v>
      </c>
      <c r="B1448" s="171" t="s">
        <v>991</v>
      </c>
      <c r="C1448" s="169">
        <v>210676306</v>
      </c>
      <c r="D1448" s="178" t="s">
        <v>2521</v>
      </c>
      <c r="E1448" s="121">
        <v>19907</v>
      </c>
      <c r="F1448" s="120">
        <v>0</v>
      </c>
    </row>
    <row r="1449" spans="1:6" ht="12">
      <c r="A1449" s="190">
        <v>240314</v>
      </c>
      <c r="B1449" s="171" t="s">
        <v>991</v>
      </c>
      <c r="C1449" s="169">
        <v>211876318</v>
      </c>
      <c r="D1449" s="178" t="s">
        <v>2522</v>
      </c>
      <c r="E1449" s="121">
        <v>34362</v>
      </c>
      <c r="F1449" s="120">
        <v>0</v>
      </c>
    </row>
    <row r="1450" spans="1:6" ht="12">
      <c r="A1450" s="190">
        <v>240314</v>
      </c>
      <c r="B1450" s="171" t="s">
        <v>991</v>
      </c>
      <c r="C1450" s="169">
        <v>216476364</v>
      </c>
      <c r="D1450" s="178" t="s">
        <v>2523</v>
      </c>
      <c r="E1450" s="121">
        <v>77474</v>
      </c>
      <c r="F1450" s="120">
        <v>0</v>
      </c>
    </row>
    <row r="1451" spans="1:6" ht="12">
      <c r="A1451" s="190">
        <v>240314</v>
      </c>
      <c r="B1451" s="171" t="s">
        <v>991</v>
      </c>
      <c r="C1451" s="169">
        <v>217776377</v>
      </c>
      <c r="D1451" s="178" t="s">
        <v>2524</v>
      </c>
      <c r="E1451" s="121">
        <v>13644</v>
      </c>
      <c r="F1451" s="120">
        <v>0</v>
      </c>
    </row>
    <row r="1452" spans="1:6" ht="12">
      <c r="A1452" s="190">
        <v>240314</v>
      </c>
      <c r="B1452" s="171" t="s">
        <v>991</v>
      </c>
      <c r="C1452" s="169">
        <v>210076400</v>
      </c>
      <c r="D1452" s="178" t="s">
        <v>1202</v>
      </c>
      <c r="E1452" s="121">
        <v>36482</v>
      </c>
      <c r="F1452" s="120">
        <v>0</v>
      </c>
    </row>
    <row r="1453" spans="1:6" ht="12">
      <c r="A1453" s="190">
        <v>240314</v>
      </c>
      <c r="B1453" s="171" t="s">
        <v>991</v>
      </c>
      <c r="C1453" s="169">
        <v>210376403</v>
      </c>
      <c r="D1453" s="178" t="s">
        <v>1515</v>
      </c>
      <c r="E1453" s="121">
        <v>17833</v>
      </c>
      <c r="F1453" s="120">
        <v>0</v>
      </c>
    </row>
    <row r="1454" spans="1:6" ht="12">
      <c r="A1454" s="190">
        <v>240314</v>
      </c>
      <c r="B1454" s="171" t="s">
        <v>991</v>
      </c>
      <c r="C1454" s="169">
        <v>219776497</v>
      </c>
      <c r="D1454" s="178" t="s">
        <v>2525</v>
      </c>
      <c r="E1454" s="121">
        <v>16819</v>
      </c>
      <c r="F1454" s="120">
        <v>0</v>
      </c>
    </row>
    <row r="1455" spans="1:6" ht="12">
      <c r="A1455" s="190">
        <v>240314</v>
      </c>
      <c r="B1455" s="171" t="s">
        <v>991</v>
      </c>
      <c r="C1455" s="169">
        <v>216376563</v>
      </c>
      <c r="D1455" s="178" t="s">
        <v>2526</v>
      </c>
      <c r="E1455" s="121">
        <v>59584</v>
      </c>
      <c r="F1455" s="120">
        <v>0</v>
      </c>
    </row>
    <row r="1456" spans="1:6" ht="12">
      <c r="A1456" s="190">
        <v>240314</v>
      </c>
      <c r="B1456" s="171" t="s">
        <v>991</v>
      </c>
      <c r="C1456" s="169">
        <v>210676606</v>
      </c>
      <c r="D1456" s="178" t="s">
        <v>2191</v>
      </c>
      <c r="E1456" s="121">
        <v>20391</v>
      </c>
      <c r="F1456" s="120">
        <v>0</v>
      </c>
    </row>
    <row r="1457" spans="1:6" ht="12">
      <c r="A1457" s="190">
        <v>240314</v>
      </c>
      <c r="B1457" s="171" t="s">
        <v>991</v>
      </c>
      <c r="C1457" s="169">
        <v>211676616</v>
      </c>
      <c r="D1457" s="178" t="s">
        <v>2527</v>
      </c>
      <c r="E1457" s="121">
        <v>21951</v>
      </c>
      <c r="F1457" s="120">
        <v>0</v>
      </c>
    </row>
    <row r="1458" spans="1:6" ht="12">
      <c r="A1458" s="190">
        <v>240314</v>
      </c>
      <c r="B1458" s="171" t="s">
        <v>991</v>
      </c>
      <c r="C1458" s="169">
        <v>212276622</v>
      </c>
      <c r="D1458" s="178" t="s">
        <v>2528</v>
      </c>
      <c r="E1458" s="121">
        <v>42728</v>
      </c>
      <c r="F1458" s="120">
        <v>0</v>
      </c>
    </row>
    <row r="1459" spans="1:6" ht="12">
      <c r="A1459" s="190">
        <v>240314</v>
      </c>
      <c r="B1459" s="171" t="s">
        <v>991</v>
      </c>
      <c r="C1459" s="169">
        <v>217076670</v>
      </c>
      <c r="D1459" s="178" t="s">
        <v>1259</v>
      </c>
      <c r="E1459" s="121">
        <v>19381</v>
      </c>
      <c r="F1459" s="120">
        <v>0</v>
      </c>
    </row>
    <row r="1460" spans="1:6" ht="12">
      <c r="A1460" s="190">
        <v>240314</v>
      </c>
      <c r="B1460" s="171" t="s">
        <v>991</v>
      </c>
      <c r="C1460" s="169">
        <v>213676736</v>
      </c>
      <c r="D1460" s="178" t="s">
        <v>2529</v>
      </c>
      <c r="E1460" s="121">
        <v>54132</v>
      </c>
      <c r="F1460" s="120">
        <v>0</v>
      </c>
    </row>
    <row r="1461" spans="1:6" ht="12">
      <c r="A1461" s="190">
        <v>240314</v>
      </c>
      <c r="B1461" s="171" t="s">
        <v>991</v>
      </c>
      <c r="C1461" s="169">
        <v>212376823</v>
      </c>
      <c r="D1461" s="178" t="s">
        <v>2530</v>
      </c>
      <c r="E1461" s="121">
        <v>21274</v>
      </c>
      <c r="F1461" s="120">
        <v>0</v>
      </c>
    </row>
    <row r="1462" spans="1:6" ht="12">
      <c r="A1462" s="190">
        <v>240314</v>
      </c>
      <c r="B1462" s="171" t="s">
        <v>991</v>
      </c>
      <c r="C1462" s="169">
        <v>212876828</v>
      </c>
      <c r="D1462" s="178" t="s">
        <v>2531</v>
      </c>
      <c r="E1462" s="121">
        <v>22202</v>
      </c>
      <c r="F1462" s="120">
        <v>0</v>
      </c>
    </row>
    <row r="1463" spans="1:6" ht="12">
      <c r="A1463" s="190">
        <v>240314</v>
      </c>
      <c r="B1463" s="171" t="s">
        <v>991</v>
      </c>
      <c r="C1463" s="169">
        <v>214576845</v>
      </c>
      <c r="D1463" s="178" t="s">
        <v>2532</v>
      </c>
      <c r="E1463" s="121">
        <v>6044</v>
      </c>
      <c r="F1463" s="120">
        <v>0</v>
      </c>
    </row>
    <row r="1464" spans="1:6" ht="12">
      <c r="A1464" s="190">
        <v>240314</v>
      </c>
      <c r="B1464" s="171" t="s">
        <v>991</v>
      </c>
      <c r="C1464" s="169">
        <v>216376863</v>
      </c>
      <c r="D1464" s="178" t="s">
        <v>2533</v>
      </c>
      <c r="E1464" s="121">
        <v>9527</v>
      </c>
      <c r="F1464" s="120">
        <v>0</v>
      </c>
    </row>
    <row r="1465" spans="1:6" ht="12">
      <c r="A1465" s="190">
        <v>240314</v>
      </c>
      <c r="B1465" s="171" t="s">
        <v>991</v>
      </c>
      <c r="C1465" s="169">
        <v>216976869</v>
      </c>
      <c r="D1465" s="178" t="s">
        <v>2534</v>
      </c>
      <c r="E1465" s="121">
        <v>7722</v>
      </c>
      <c r="F1465" s="120">
        <v>0</v>
      </c>
    </row>
    <row r="1466" spans="1:6" ht="12">
      <c r="A1466" s="190">
        <v>240314</v>
      </c>
      <c r="B1466" s="171" t="s">
        <v>991</v>
      </c>
      <c r="C1466" s="169">
        <v>219076890</v>
      </c>
      <c r="D1466" s="178" t="s">
        <v>2535</v>
      </c>
      <c r="E1466" s="121">
        <v>21299</v>
      </c>
      <c r="F1466" s="120">
        <v>0</v>
      </c>
    </row>
    <row r="1467" spans="1:6" ht="12">
      <c r="A1467" s="190">
        <v>240314</v>
      </c>
      <c r="B1467" s="171" t="s">
        <v>991</v>
      </c>
      <c r="C1467" s="169">
        <v>219276892</v>
      </c>
      <c r="D1467" s="178" t="s">
        <v>2536</v>
      </c>
      <c r="E1467" s="121">
        <v>110042</v>
      </c>
      <c r="F1467" s="120">
        <v>0</v>
      </c>
    </row>
    <row r="1468" spans="1:6" ht="12">
      <c r="A1468" s="190">
        <v>240314</v>
      </c>
      <c r="B1468" s="171" t="s">
        <v>991</v>
      </c>
      <c r="C1468" s="169">
        <v>219576895</v>
      </c>
      <c r="D1468" s="178" t="s">
        <v>2537</v>
      </c>
      <c r="E1468" s="121">
        <v>45902</v>
      </c>
      <c r="F1468" s="120">
        <v>0</v>
      </c>
    </row>
    <row r="1469" spans="1:6" ht="12">
      <c r="A1469" s="190">
        <v>240314</v>
      </c>
      <c r="B1469" s="171" t="s">
        <v>991</v>
      </c>
      <c r="C1469" s="169">
        <v>210181001</v>
      </c>
      <c r="D1469" s="178" t="s">
        <v>1014</v>
      </c>
      <c r="E1469" s="121">
        <v>81572</v>
      </c>
      <c r="F1469" s="120">
        <v>0</v>
      </c>
    </row>
    <row r="1470" spans="1:6" ht="12">
      <c r="A1470" s="190">
        <v>240314</v>
      </c>
      <c r="B1470" s="171" t="s">
        <v>991</v>
      </c>
      <c r="C1470" s="169">
        <v>216581065</v>
      </c>
      <c r="D1470" s="178" t="s">
        <v>2538</v>
      </c>
      <c r="E1470" s="121">
        <v>56798</v>
      </c>
      <c r="F1470" s="120">
        <v>0</v>
      </c>
    </row>
    <row r="1471" spans="1:6" ht="12">
      <c r="A1471" s="190">
        <v>240314</v>
      </c>
      <c r="B1471" s="171" t="s">
        <v>991</v>
      </c>
      <c r="C1471" s="169">
        <v>212081220</v>
      </c>
      <c r="D1471" s="178" t="s">
        <v>2539</v>
      </c>
      <c r="E1471" s="121">
        <v>4856</v>
      </c>
      <c r="F1471" s="120">
        <v>0</v>
      </c>
    </row>
    <row r="1472" spans="1:6" ht="12">
      <c r="A1472" s="190">
        <v>240314</v>
      </c>
      <c r="B1472" s="171" t="s">
        <v>991</v>
      </c>
      <c r="C1472" s="169">
        <v>210081300</v>
      </c>
      <c r="D1472" s="178" t="s">
        <v>2540</v>
      </c>
      <c r="E1472" s="121">
        <v>32427</v>
      </c>
      <c r="F1472" s="120">
        <v>0</v>
      </c>
    </row>
    <row r="1473" spans="1:6" ht="12">
      <c r="A1473" s="190">
        <v>240314</v>
      </c>
      <c r="B1473" s="171" t="s">
        <v>991</v>
      </c>
      <c r="C1473" s="169">
        <v>219181591</v>
      </c>
      <c r="D1473" s="178" t="s">
        <v>2541</v>
      </c>
      <c r="E1473" s="121">
        <v>5648</v>
      </c>
      <c r="F1473" s="120">
        <v>0</v>
      </c>
    </row>
    <row r="1474" spans="1:6" ht="12">
      <c r="A1474" s="190">
        <v>240314</v>
      </c>
      <c r="B1474" s="171" t="s">
        <v>991</v>
      </c>
      <c r="C1474" s="169">
        <v>213681736</v>
      </c>
      <c r="D1474" s="178" t="s">
        <v>2542</v>
      </c>
      <c r="E1474" s="121">
        <v>65854</v>
      </c>
      <c r="F1474" s="120">
        <v>0</v>
      </c>
    </row>
    <row r="1475" spans="1:6" ht="12">
      <c r="A1475" s="190">
        <v>240314</v>
      </c>
      <c r="B1475" s="171" t="s">
        <v>991</v>
      </c>
      <c r="C1475" s="169">
        <v>219481794</v>
      </c>
      <c r="D1475" s="178" t="s">
        <v>2543</v>
      </c>
      <c r="E1475" s="121">
        <v>70295</v>
      </c>
      <c r="F1475" s="120">
        <v>0</v>
      </c>
    </row>
    <row r="1476" spans="1:6" ht="12">
      <c r="A1476" s="190">
        <v>240314</v>
      </c>
      <c r="B1476" s="171" t="s">
        <v>991</v>
      </c>
      <c r="C1476" s="169">
        <v>210185001</v>
      </c>
      <c r="D1476" s="178" t="s">
        <v>2544</v>
      </c>
      <c r="E1476" s="121">
        <v>136387</v>
      </c>
      <c r="F1476" s="120">
        <v>0</v>
      </c>
    </row>
    <row r="1477" spans="1:6" ht="12">
      <c r="A1477" s="190">
        <v>240314</v>
      </c>
      <c r="B1477" s="171" t="s">
        <v>991</v>
      </c>
      <c r="C1477" s="169">
        <v>211085010</v>
      </c>
      <c r="D1477" s="178" t="s">
        <v>2545</v>
      </c>
      <c r="E1477" s="121">
        <v>42933</v>
      </c>
      <c r="F1477" s="120">
        <v>0</v>
      </c>
    </row>
    <row r="1478" spans="1:6" ht="12">
      <c r="A1478" s="190">
        <v>240314</v>
      </c>
      <c r="B1478" s="171" t="s">
        <v>991</v>
      </c>
      <c r="C1478" s="169">
        <v>211585015</v>
      </c>
      <c r="D1478" s="178" t="s">
        <v>2546</v>
      </c>
      <c r="E1478" s="121">
        <v>2357</v>
      </c>
      <c r="F1478" s="120">
        <v>0</v>
      </c>
    </row>
    <row r="1479" spans="1:6" ht="12">
      <c r="A1479" s="190">
        <v>240314</v>
      </c>
      <c r="B1479" s="171" t="s">
        <v>991</v>
      </c>
      <c r="C1479" s="169">
        <v>212585125</v>
      </c>
      <c r="D1479" s="178" t="s">
        <v>2547</v>
      </c>
      <c r="E1479" s="121">
        <v>17715</v>
      </c>
      <c r="F1479" s="120">
        <v>0</v>
      </c>
    </row>
    <row r="1480" spans="1:6" ht="12">
      <c r="A1480" s="190">
        <v>240314</v>
      </c>
      <c r="B1480" s="171" t="s">
        <v>991</v>
      </c>
      <c r="C1480" s="169">
        <v>213685136</v>
      </c>
      <c r="D1480" s="178" t="s">
        <v>2548</v>
      </c>
      <c r="E1480" s="121">
        <v>2349</v>
      </c>
      <c r="F1480" s="120">
        <v>0</v>
      </c>
    </row>
    <row r="1481" spans="1:6" ht="12">
      <c r="A1481" s="190">
        <v>240314</v>
      </c>
      <c r="B1481" s="171" t="s">
        <v>991</v>
      </c>
      <c r="C1481" s="169">
        <v>213985139</v>
      </c>
      <c r="D1481" s="178" t="s">
        <v>2549</v>
      </c>
      <c r="E1481" s="121">
        <v>15523</v>
      </c>
      <c r="F1481" s="120">
        <v>0</v>
      </c>
    </row>
    <row r="1482" spans="1:6" ht="12">
      <c r="A1482" s="190">
        <v>240314</v>
      </c>
      <c r="B1482" s="171" t="s">
        <v>991</v>
      </c>
      <c r="C1482" s="169">
        <v>216285162</v>
      </c>
      <c r="D1482" s="178" t="s">
        <v>2550</v>
      </c>
      <c r="E1482" s="121">
        <v>18671</v>
      </c>
      <c r="F1482" s="120">
        <v>0</v>
      </c>
    </row>
    <row r="1483" spans="1:6" ht="12">
      <c r="A1483" s="190">
        <v>240314</v>
      </c>
      <c r="B1483" s="171" t="s">
        <v>991</v>
      </c>
      <c r="C1483" s="169">
        <v>212585225</v>
      </c>
      <c r="D1483" s="178" t="s">
        <v>2551</v>
      </c>
      <c r="E1483" s="121">
        <v>15688</v>
      </c>
      <c r="F1483" s="120">
        <v>0</v>
      </c>
    </row>
    <row r="1484" spans="1:6" ht="12">
      <c r="A1484" s="190">
        <v>240314</v>
      </c>
      <c r="B1484" s="171" t="s">
        <v>991</v>
      </c>
      <c r="C1484" s="169">
        <v>213085230</v>
      </c>
      <c r="D1484" s="178" t="s">
        <v>2552</v>
      </c>
      <c r="E1484" s="121">
        <v>13806</v>
      </c>
      <c r="F1484" s="120">
        <v>0</v>
      </c>
    </row>
    <row r="1485" spans="1:6" ht="12">
      <c r="A1485" s="190">
        <v>240314</v>
      </c>
      <c r="B1485" s="171" t="s">
        <v>991</v>
      </c>
      <c r="C1485" s="169">
        <v>215085250</v>
      </c>
      <c r="D1485" s="178" t="s">
        <v>2553</v>
      </c>
      <c r="E1485" s="121">
        <v>40117</v>
      </c>
      <c r="F1485" s="120">
        <v>0</v>
      </c>
    </row>
    <row r="1486" spans="1:6" ht="12">
      <c r="A1486" s="190">
        <v>240314</v>
      </c>
      <c r="B1486" s="171" t="s">
        <v>991</v>
      </c>
      <c r="C1486" s="169">
        <v>216385263</v>
      </c>
      <c r="D1486" s="178" t="s">
        <v>2554</v>
      </c>
      <c r="E1486" s="121">
        <v>10694</v>
      </c>
      <c r="F1486" s="120">
        <v>0</v>
      </c>
    </row>
    <row r="1487" spans="1:6" ht="12">
      <c r="A1487" s="190">
        <v>240314</v>
      </c>
      <c r="B1487" s="171" t="s">
        <v>991</v>
      </c>
      <c r="C1487" s="169">
        <v>217985279</v>
      </c>
      <c r="D1487" s="178" t="s">
        <v>2555</v>
      </c>
      <c r="E1487" s="121">
        <v>2084</v>
      </c>
      <c r="F1487" s="120">
        <v>0</v>
      </c>
    </row>
    <row r="1488" spans="1:6" ht="12">
      <c r="A1488" s="190">
        <v>240314</v>
      </c>
      <c r="B1488" s="171" t="s">
        <v>991</v>
      </c>
      <c r="C1488" s="169">
        <v>210085300</v>
      </c>
      <c r="D1488" s="178" t="s">
        <v>1241</v>
      </c>
      <c r="E1488" s="121">
        <v>5389</v>
      </c>
      <c r="F1488" s="120">
        <v>0</v>
      </c>
    </row>
    <row r="1489" spans="1:6" ht="12">
      <c r="A1489" s="190">
        <v>240314</v>
      </c>
      <c r="B1489" s="171" t="s">
        <v>991</v>
      </c>
      <c r="C1489" s="169">
        <v>211585315</v>
      </c>
      <c r="D1489" s="178" t="s">
        <v>2556</v>
      </c>
      <c r="E1489" s="121">
        <v>2651</v>
      </c>
      <c r="F1489" s="120">
        <v>0</v>
      </c>
    </row>
    <row r="1490" spans="1:6" ht="12">
      <c r="A1490" s="190">
        <v>240314</v>
      </c>
      <c r="B1490" s="171" t="s">
        <v>991</v>
      </c>
      <c r="C1490" s="169">
        <v>212585325</v>
      </c>
      <c r="D1490" s="178" t="s">
        <v>2557</v>
      </c>
      <c r="E1490" s="121">
        <v>8563</v>
      </c>
      <c r="F1490" s="120">
        <v>0</v>
      </c>
    </row>
    <row r="1491" spans="1:6" ht="12">
      <c r="A1491" s="190">
        <v>240314</v>
      </c>
      <c r="B1491" s="171" t="s">
        <v>991</v>
      </c>
      <c r="C1491" s="169">
        <v>210085400</v>
      </c>
      <c r="D1491" s="178" t="s">
        <v>2558</v>
      </c>
      <c r="E1491" s="121">
        <v>15061</v>
      </c>
      <c r="F1491" s="120">
        <v>0</v>
      </c>
    </row>
    <row r="1492" spans="1:6" ht="12">
      <c r="A1492" s="190">
        <v>240314</v>
      </c>
      <c r="B1492" s="171" t="s">
        <v>991</v>
      </c>
      <c r="C1492" s="169">
        <v>211085410</v>
      </c>
      <c r="D1492" s="178" t="s">
        <v>2559</v>
      </c>
      <c r="E1492" s="121">
        <v>23047</v>
      </c>
      <c r="F1492" s="120">
        <v>0</v>
      </c>
    </row>
    <row r="1493" spans="1:6" ht="12">
      <c r="A1493" s="190">
        <v>240314</v>
      </c>
      <c r="B1493" s="171" t="s">
        <v>991</v>
      </c>
      <c r="C1493" s="169">
        <v>213085430</v>
      </c>
      <c r="D1493" s="178" t="s">
        <v>2560</v>
      </c>
      <c r="E1493" s="121">
        <v>17587</v>
      </c>
      <c r="F1493" s="120">
        <v>0</v>
      </c>
    </row>
    <row r="1494" spans="1:6" ht="12">
      <c r="A1494" s="190">
        <v>240314</v>
      </c>
      <c r="B1494" s="171" t="s">
        <v>991</v>
      </c>
      <c r="C1494" s="169">
        <v>214085440</v>
      </c>
      <c r="D1494" s="178" t="s">
        <v>1427</v>
      </c>
      <c r="E1494" s="121">
        <v>28981</v>
      </c>
      <c r="F1494" s="120">
        <v>0</v>
      </c>
    </row>
    <row r="1495" spans="1:6" ht="12">
      <c r="A1495" s="190">
        <v>240314</v>
      </c>
      <c r="B1495" s="171" t="s">
        <v>991</v>
      </c>
      <c r="C1495" s="170">
        <v>210186001</v>
      </c>
      <c r="D1495" s="178" t="s">
        <v>2561</v>
      </c>
      <c r="E1495" s="121">
        <v>51095</v>
      </c>
      <c r="F1495" s="120">
        <v>0</v>
      </c>
    </row>
    <row r="1496" spans="1:6" ht="12">
      <c r="A1496" s="190">
        <v>240314</v>
      </c>
      <c r="B1496" s="171" t="s">
        <v>991</v>
      </c>
      <c r="C1496" s="170">
        <v>211986219</v>
      </c>
      <c r="D1496" s="178" t="s">
        <v>2562</v>
      </c>
      <c r="E1496" s="121">
        <v>6434</v>
      </c>
      <c r="F1496" s="120">
        <v>0</v>
      </c>
    </row>
    <row r="1497" spans="1:6" ht="12">
      <c r="A1497" s="190">
        <v>240314</v>
      </c>
      <c r="B1497" s="171" t="s">
        <v>991</v>
      </c>
      <c r="C1497" s="169">
        <v>212086320</v>
      </c>
      <c r="D1497" s="178" t="s">
        <v>2563</v>
      </c>
      <c r="E1497" s="121">
        <v>74890</v>
      </c>
      <c r="F1497" s="120">
        <v>0</v>
      </c>
    </row>
    <row r="1498" spans="1:6" ht="12">
      <c r="A1498" s="190">
        <v>240314</v>
      </c>
      <c r="B1498" s="171" t="s">
        <v>991</v>
      </c>
      <c r="C1498" s="169">
        <v>216886568</v>
      </c>
      <c r="D1498" s="178" t="s">
        <v>2564</v>
      </c>
      <c r="E1498" s="121">
        <v>85751</v>
      </c>
      <c r="F1498" s="120">
        <v>0</v>
      </c>
    </row>
    <row r="1499" spans="1:6" ht="12">
      <c r="A1499" s="190">
        <v>240314</v>
      </c>
      <c r="B1499" s="171" t="s">
        <v>991</v>
      </c>
      <c r="C1499" s="169">
        <v>216986569</v>
      </c>
      <c r="D1499" s="178" t="s">
        <v>2565</v>
      </c>
      <c r="E1499" s="121">
        <v>20471</v>
      </c>
      <c r="F1499" s="120">
        <v>0</v>
      </c>
    </row>
    <row r="1500" spans="1:6" ht="12">
      <c r="A1500" s="190">
        <v>240314</v>
      </c>
      <c r="B1500" s="171" t="s">
        <v>991</v>
      </c>
      <c r="C1500" s="169">
        <v>217186571</v>
      </c>
      <c r="D1500" s="178" t="s">
        <v>2566</v>
      </c>
      <c r="E1500" s="121">
        <v>52641</v>
      </c>
      <c r="F1500" s="120">
        <v>0</v>
      </c>
    </row>
    <row r="1501" spans="1:6" ht="12">
      <c r="A1501" s="190">
        <v>240314</v>
      </c>
      <c r="B1501" s="171" t="s">
        <v>991</v>
      </c>
      <c r="C1501" s="170">
        <v>217386573</v>
      </c>
      <c r="D1501" s="178" t="s">
        <v>2567</v>
      </c>
      <c r="E1501" s="121">
        <v>43613</v>
      </c>
      <c r="F1501" s="120">
        <v>0</v>
      </c>
    </row>
    <row r="1502" spans="1:6" ht="12">
      <c r="A1502" s="190">
        <v>240314</v>
      </c>
      <c r="B1502" s="171" t="s">
        <v>991</v>
      </c>
      <c r="C1502" s="170">
        <v>214986749</v>
      </c>
      <c r="D1502" s="178" t="s">
        <v>2568</v>
      </c>
      <c r="E1502" s="121">
        <v>20710</v>
      </c>
      <c r="F1502" s="120">
        <v>0</v>
      </c>
    </row>
    <row r="1503" spans="1:6" ht="12">
      <c r="A1503" s="190">
        <v>240314</v>
      </c>
      <c r="B1503" s="171" t="s">
        <v>991</v>
      </c>
      <c r="C1503" s="170">
        <v>215586755</v>
      </c>
      <c r="D1503" s="178" t="s">
        <v>1249</v>
      </c>
      <c r="E1503" s="121">
        <v>7349</v>
      </c>
      <c r="F1503" s="120">
        <v>0</v>
      </c>
    </row>
    <row r="1504" spans="1:6" ht="12">
      <c r="A1504" s="190">
        <v>240314</v>
      </c>
      <c r="B1504" s="171" t="s">
        <v>991</v>
      </c>
      <c r="C1504" s="170">
        <v>215786757</v>
      </c>
      <c r="D1504" s="178" t="s">
        <v>2569</v>
      </c>
      <c r="E1504" s="121">
        <v>27356</v>
      </c>
      <c r="F1504" s="120">
        <v>0</v>
      </c>
    </row>
    <row r="1505" spans="1:6" ht="12">
      <c r="A1505" s="190">
        <v>240314</v>
      </c>
      <c r="B1505" s="171" t="s">
        <v>991</v>
      </c>
      <c r="C1505" s="170">
        <v>216086760</v>
      </c>
      <c r="D1505" s="178" t="s">
        <v>2276</v>
      </c>
      <c r="E1505" s="121">
        <v>12334</v>
      </c>
      <c r="F1505" s="120">
        <v>0</v>
      </c>
    </row>
    <row r="1506" spans="1:6" ht="12">
      <c r="A1506" s="190">
        <v>240314</v>
      </c>
      <c r="B1506" s="171" t="s">
        <v>991</v>
      </c>
      <c r="C1506" s="170">
        <v>216586865</v>
      </c>
      <c r="D1506" s="178" t="s">
        <v>2570</v>
      </c>
      <c r="E1506" s="121">
        <v>64602</v>
      </c>
      <c r="F1506" s="120">
        <v>0</v>
      </c>
    </row>
    <row r="1507" spans="1:6" ht="12">
      <c r="A1507" s="190">
        <v>240314</v>
      </c>
      <c r="B1507" s="171" t="s">
        <v>991</v>
      </c>
      <c r="C1507" s="170">
        <v>218586885</v>
      </c>
      <c r="D1507" s="178" t="s">
        <v>2571</v>
      </c>
      <c r="E1507" s="121">
        <v>34321</v>
      </c>
      <c r="F1507" s="120">
        <v>0</v>
      </c>
    </row>
    <row r="1508" spans="1:6" ht="12">
      <c r="A1508" s="190">
        <v>240314</v>
      </c>
      <c r="B1508" s="171" t="s">
        <v>991</v>
      </c>
      <c r="C1508" s="170" t="s">
        <v>2572</v>
      </c>
      <c r="D1508" s="178" t="s">
        <v>1017</v>
      </c>
      <c r="E1508" s="121">
        <v>57050</v>
      </c>
      <c r="F1508" s="120">
        <v>0</v>
      </c>
    </row>
    <row r="1509" spans="1:6" ht="12">
      <c r="A1509" s="190">
        <v>240314</v>
      </c>
      <c r="B1509" s="171" t="s">
        <v>991</v>
      </c>
      <c r="C1509" s="170">
        <v>216488564</v>
      </c>
      <c r="D1509" s="178" t="s">
        <v>2573</v>
      </c>
      <c r="E1509" s="121">
        <v>5404</v>
      </c>
      <c r="F1509" s="120">
        <v>0</v>
      </c>
    </row>
    <row r="1510" spans="1:6" ht="12">
      <c r="A1510" s="190">
        <v>240314</v>
      </c>
      <c r="B1510" s="171" t="s">
        <v>991</v>
      </c>
      <c r="C1510" s="169">
        <v>210191001</v>
      </c>
      <c r="D1510" s="178" t="s">
        <v>2574</v>
      </c>
      <c r="E1510" s="121">
        <v>91422</v>
      </c>
      <c r="F1510" s="120">
        <v>0</v>
      </c>
    </row>
    <row r="1511" spans="1:6" ht="12">
      <c r="A1511" s="190">
        <v>240314</v>
      </c>
      <c r="B1511" s="171" t="s">
        <v>991</v>
      </c>
      <c r="C1511" s="169">
        <v>214091540</v>
      </c>
      <c r="D1511" s="178" t="s">
        <v>2575</v>
      </c>
      <c r="E1511" s="121">
        <v>15491</v>
      </c>
      <c r="F1511" s="120">
        <v>0</v>
      </c>
    </row>
    <row r="1512" spans="1:6" ht="12">
      <c r="A1512" s="190">
        <v>240314</v>
      </c>
      <c r="B1512" s="171" t="s">
        <v>991</v>
      </c>
      <c r="C1512" s="170">
        <v>210194001</v>
      </c>
      <c r="D1512" s="178" t="s">
        <v>2576</v>
      </c>
      <c r="E1512" s="121">
        <v>65570</v>
      </c>
      <c r="F1512" s="120">
        <v>0</v>
      </c>
    </row>
    <row r="1513" spans="1:6" ht="12">
      <c r="A1513" s="190">
        <v>240314</v>
      </c>
      <c r="B1513" s="171" t="s">
        <v>991</v>
      </c>
      <c r="C1513" s="170">
        <v>210195001</v>
      </c>
      <c r="D1513" s="178" t="s">
        <v>2577</v>
      </c>
      <c r="E1513" s="121">
        <v>84728</v>
      </c>
      <c r="F1513" s="120">
        <v>0</v>
      </c>
    </row>
    <row r="1514" spans="1:6" ht="12">
      <c r="A1514" s="190">
        <v>240314</v>
      </c>
      <c r="B1514" s="171" t="s">
        <v>991</v>
      </c>
      <c r="C1514" s="169">
        <v>211595015</v>
      </c>
      <c r="D1514" s="178" t="s">
        <v>1366</v>
      </c>
      <c r="E1514" s="121">
        <v>12482</v>
      </c>
      <c r="F1514" s="120">
        <v>0</v>
      </c>
    </row>
    <row r="1515" spans="1:6" ht="12">
      <c r="A1515" s="190">
        <v>240314</v>
      </c>
      <c r="B1515" s="171" t="s">
        <v>991</v>
      </c>
      <c r="C1515" s="170">
        <v>212595025</v>
      </c>
      <c r="D1515" s="178" t="s">
        <v>2578</v>
      </c>
      <c r="E1515" s="121">
        <v>30592</v>
      </c>
      <c r="F1515" s="120">
        <v>0</v>
      </c>
    </row>
    <row r="1516" spans="1:6" ht="12">
      <c r="A1516" s="190">
        <v>240314</v>
      </c>
      <c r="B1516" s="171" t="s">
        <v>991</v>
      </c>
      <c r="C1516" s="170">
        <v>210095200</v>
      </c>
      <c r="D1516" s="178" t="s">
        <v>1525</v>
      </c>
      <c r="E1516" s="121">
        <v>10835</v>
      </c>
      <c r="F1516" s="120">
        <v>0</v>
      </c>
    </row>
    <row r="1517" spans="1:6" ht="12">
      <c r="A1517" s="190">
        <v>240314</v>
      </c>
      <c r="B1517" s="171" t="s">
        <v>991</v>
      </c>
      <c r="C1517" s="169">
        <v>210197001</v>
      </c>
      <c r="D1517" s="178" t="s">
        <v>2579</v>
      </c>
      <c r="E1517" s="121">
        <v>54547</v>
      </c>
      <c r="F1517" s="120">
        <v>0</v>
      </c>
    </row>
    <row r="1518" spans="1:6" ht="12">
      <c r="A1518" s="190">
        <v>240314</v>
      </c>
      <c r="B1518" s="171" t="s">
        <v>991</v>
      </c>
      <c r="C1518" s="169">
        <v>216197161</v>
      </c>
      <c r="D1518" s="178" t="s">
        <v>2580</v>
      </c>
      <c r="E1518" s="121">
        <v>6189</v>
      </c>
      <c r="F1518" s="120">
        <v>0</v>
      </c>
    </row>
    <row r="1519" spans="1:6" ht="12">
      <c r="A1519" s="190">
        <v>240314</v>
      </c>
      <c r="B1519" s="171" t="s">
        <v>991</v>
      </c>
      <c r="C1519" s="169">
        <v>216697666</v>
      </c>
      <c r="D1519" s="178" t="s">
        <v>2581</v>
      </c>
      <c r="E1519" s="121">
        <v>2555</v>
      </c>
      <c r="F1519" s="120">
        <v>0</v>
      </c>
    </row>
    <row r="1520" spans="1:6" ht="12">
      <c r="A1520" s="190">
        <v>240314</v>
      </c>
      <c r="B1520" s="171" t="s">
        <v>991</v>
      </c>
      <c r="C1520" s="169">
        <v>210199001</v>
      </c>
      <c r="D1520" s="178" t="s">
        <v>2582</v>
      </c>
      <c r="E1520" s="121">
        <v>16473</v>
      </c>
      <c r="F1520" s="120">
        <v>0</v>
      </c>
    </row>
    <row r="1521" spans="1:6" ht="12">
      <c r="A1521" s="190">
        <v>240314</v>
      </c>
      <c r="B1521" s="171" t="s">
        <v>991</v>
      </c>
      <c r="C1521" s="169">
        <v>212499524</v>
      </c>
      <c r="D1521" s="178" t="s">
        <v>2583</v>
      </c>
      <c r="E1521" s="121">
        <v>16413</v>
      </c>
      <c r="F1521" s="120">
        <v>0</v>
      </c>
    </row>
    <row r="1522" spans="1:6" ht="12">
      <c r="A1522" s="190">
        <v>240314</v>
      </c>
      <c r="B1522" s="171" t="s">
        <v>991</v>
      </c>
      <c r="C1522" s="169">
        <v>212499624</v>
      </c>
      <c r="D1522" s="178" t="s">
        <v>2584</v>
      </c>
      <c r="E1522" s="121">
        <v>6964</v>
      </c>
      <c r="F1522" s="120">
        <v>0</v>
      </c>
    </row>
    <row r="1523" spans="1:6" ht="12">
      <c r="A1523" s="190">
        <v>240314</v>
      </c>
      <c r="B1523" s="171" t="s">
        <v>991</v>
      </c>
      <c r="C1523" s="169">
        <v>217399773</v>
      </c>
      <c r="D1523" s="178" t="s">
        <v>2585</v>
      </c>
      <c r="E1523" s="121">
        <v>69932</v>
      </c>
      <c r="F1523" s="120">
        <v>0</v>
      </c>
    </row>
    <row r="1524" spans="1:6" ht="12">
      <c r="A1524" s="190">
        <v>243601</v>
      </c>
      <c r="B1524" s="171" t="s">
        <v>2590</v>
      </c>
      <c r="C1524" s="169">
        <v>910300000</v>
      </c>
      <c r="D1524" s="179" t="s">
        <v>2591</v>
      </c>
      <c r="E1524" s="121">
        <f>41588+10</f>
        <v>41598</v>
      </c>
      <c r="F1524" s="120">
        <v>0</v>
      </c>
    </row>
    <row r="1525" spans="1:6" ht="12">
      <c r="A1525" s="190">
        <v>243603</v>
      </c>
      <c r="B1525" s="171" t="s">
        <v>2592</v>
      </c>
      <c r="C1525" s="169">
        <v>910300000</v>
      </c>
      <c r="D1525" s="179" t="s">
        <v>2591</v>
      </c>
      <c r="E1525" s="121">
        <f>130120+5497</f>
        <v>135617</v>
      </c>
      <c r="F1525" s="120">
        <v>0</v>
      </c>
    </row>
    <row r="1526" spans="1:6" ht="12">
      <c r="A1526" s="190">
        <v>243605</v>
      </c>
      <c r="B1526" s="171" t="s">
        <v>2593</v>
      </c>
      <c r="C1526" s="169">
        <v>910300000</v>
      </c>
      <c r="D1526" s="179" t="s">
        <v>2591</v>
      </c>
      <c r="E1526" s="121">
        <f>64161+1737</f>
        <v>65898</v>
      </c>
      <c r="F1526" s="120">
        <v>0</v>
      </c>
    </row>
    <row r="1527" spans="1:6" ht="12">
      <c r="A1527" s="190">
        <v>243608</v>
      </c>
      <c r="B1527" s="171" t="s">
        <v>2594</v>
      </c>
      <c r="C1527" s="169">
        <v>910300000</v>
      </c>
      <c r="D1527" s="179" t="s">
        <v>2591</v>
      </c>
      <c r="E1527" s="121">
        <f>4864+220</f>
        <v>5084</v>
      </c>
      <c r="F1527" s="120">
        <v>0</v>
      </c>
    </row>
    <row r="1528" spans="1:6" ht="24">
      <c r="A1528" s="190">
        <v>243625</v>
      </c>
      <c r="B1528" s="171" t="s">
        <v>2595</v>
      </c>
      <c r="C1528" s="169">
        <v>910300000</v>
      </c>
      <c r="D1528" s="179" t="s">
        <v>2591</v>
      </c>
      <c r="E1528" s="121">
        <f>196122+825</f>
        <v>196947</v>
      </c>
      <c r="F1528" s="120">
        <v>0</v>
      </c>
    </row>
    <row r="1529" spans="1:6" ht="12">
      <c r="A1529" s="190">
        <v>243698</v>
      </c>
      <c r="B1529" s="171" t="s">
        <v>2596</v>
      </c>
      <c r="C1529" s="169">
        <v>910300000</v>
      </c>
      <c r="D1529" s="179" t="s">
        <v>2591</v>
      </c>
      <c r="E1529" s="121">
        <v>5606</v>
      </c>
      <c r="F1529" s="120">
        <v>0</v>
      </c>
    </row>
    <row r="1530" spans="1:6" ht="12">
      <c r="A1530" s="190">
        <v>243701</v>
      </c>
      <c r="B1530" s="171" t="s">
        <v>2597</v>
      </c>
      <c r="C1530" s="167">
        <v>210111001</v>
      </c>
      <c r="D1530" s="181" t="s">
        <v>2598</v>
      </c>
      <c r="E1530" s="121">
        <f>39469+1884</f>
        <v>41353</v>
      </c>
      <c r="F1530" s="120">
        <v>0</v>
      </c>
    </row>
    <row r="1531" spans="1:6" ht="12">
      <c r="A1531" s="190">
        <v>243701</v>
      </c>
      <c r="B1531" s="171" t="s">
        <v>2597</v>
      </c>
      <c r="C1531" s="169">
        <v>210176001</v>
      </c>
      <c r="D1531" s="179" t="s">
        <v>2747</v>
      </c>
      <c r="E1531" s="121">
        <f>880</f>
        <v>880</v>
      </c>
      <c r="F1531" s="120">
        <v>0</v>
      </c>
    </row>
    <row r="1532" spans="1:6" ht="12">
      <c r="A1532" s="190">
        <v>244011</v>
      </c>
      <c r="B1532" s="171" t="s">
        <v>2599</v>
      </c>
      <c r="C1532" s="167" t="s">
        <v>2600</v>
      </c>
      <c r="D1532" s="179" t="s">
        <v>2601</v>
      </c>
      <c r="E1532" s="121">
        <v>1029733</v>
      </c>
      <c r="F1532" s="120">
        <v>0</v>
      </c>
    </row>
    <row r="1533" spans="1:6" ht="12">
      <c r="A1533" s="190">
        <v>245503</v>
      </c>
      <c r="B1533" s="171" t="s">
        <v>2748</v>
      </c>
      <c r="C1533" s="167" t="s">
        <v>2749</v>
      </c>
      <c r="D1533" s="179" t="s">
        <v>2750</v>
      </c>
      <c r="E1533" s="121">
        <v>207</v>
      </c>
      <c r="F1533" s="120">
        <v>0</v>
      </c>
    </row>
    <row r="1534" spans="1:6" ht="12">
      <c r="A1534" s="190">
        <v>440301</v>
      </c>
      <c r="B1534" s="171" t="s">
        <v>2751</v>
      </c>
      <c r="C1534" s="208" t="s">
        <v>2741</v>
      </c>
      <c r="D1534" s="179" t="s">
        <v>2752</v>
      </c>
      <c r="E1534" s="121">
        <v>0</v>
      </c>
      <c r="F1534" s="120">
        <v>931259</v>
      </c>
    </row>
    <row r="1535" spans="1:6" ht="12">
      <c r="A1535" s="190">
        <v>470501</v>
      </c>
      <c r="B1535" s="171" t="s">
        <v>2602</v>
      </c>
      <c r="C1535" s="167" t="s">
        <v>986</v>
      </c>
      <c r="D1535" s="179" t="s">
        <v>987</v>
      </c>
      <c r="E1535" s="121">
        <v>0</v>
      </c>
      <c r="F1535" s="120">
        <v>6803834</v>
      </c>
    </row>
    <row r="1536" spans="1:6" ht="12">
      <c r="A1536" s="190">
        <v>470502</v>
      </c>
      <c r="B1536" s="171" t="s">
        <v>2603</v>
      </c>
      <c r="C1536" s="167" t="s">
        <v>986</v>
      </c>
      <c r="D1536" s="179" t="s">
        <v>987</v>
      </c>
      <c r="E1536" s="121">
        <v>0</v>
      </c>
      <c r="F1536" s="120">
        <v>1025592</v>
      </c>
    </row>
    <row r="1537" spans="1:6" ht="12">
      <c r="A1537" s="190">
        <v>470505</v>
      </c>
      <c r="B1537" s="171" t="s">
        <v>2604</v>
      </c>
      <c r="C1537" s="167" t="s">
        <v>986</v>
      </c>
      <c r="D1537" s="179" t="s">
        <v>987</v>
      </c>
      <c r="E1537" s="121">
        <v>0</v>
      </c>
      <c r="F1537" s="120">
        <v>113654904</v>
      </c>
    </row>
    <row r="1538" spans="1:6" ht="24">
      <c r="A1538" s="190">
        <v>470506</v>
      </c>
      <c r="B1538" s="171" t="s">
        <v>988</v>
      </c>
      <c r="C1538" s="167" t="s">
        <v>986</v>
      </c>
      <c r="D1538" s="179" t="s">
        <v>987</v>
      </c>
      <c r="E1538" s="121">
        <v>0</v>
      </c>
      <c r="F1538" s="120">
        <v>5540693151</v>
      </c>
    </row>
    <row r="1539" spans="1:6" ht="12">
      <c r="A1539" s="191">
        <v>510124</v>
      </c>
      <c r="B1539" s="171" t="s">
        <v>2605</v>
      </c>
      <c r="C1539" s="164" t="s">
        <v>2606</v>
      </c>
      <c r="D1539" s="179" t="s">
        <v>2607</v>
      </c>
      <c r="E1539" s="121">
        <v>0</v>
      </c>
      <c r="F1539" s="120">
        <f>22212+7777+201364+192375-14711</f>
        <v>409017</v>
      </c>
    </row>
    <row r="1540" spans="1:6" ht="12">
      <c r="A1540" s="191">
        <v>510124</v>
      </c>
      <c r="B1540" s="171" t="s">
        <v>2605</v>
      </c>
      <c r="C1540" s="167" t="s">
        <v>989</v>
      </c>
      <c r="D1540" s="179" t="s">
        <v>2609</v>
      </c>
      <c r="E1540" s="121">
        <v>0</v>
      </c>
      <c r="F1540" s="120">
        <f>5294+3444</f>
        <v>8738</v>
      </c>
    </row>
    <row r="1541" spans="1:6" ht="12">
      <c r="A1541" s="191">
        <v>510303</v>
      </c>
      <c r="B1541" s="171" t="s">
        <v>2608</v>
      </c>
      <c r="C1541" s="167" t="s">
        <v>989</v>
      </c>
      <c r="D1541" s="179" t="s">
        <v>2609</v>
      </c>
      <c r="E1541" s="121">
        <v>0</v>
      </c>
      <c r="F1541" s="120">
        <f>3474+5914+2468</f>
        <v>11856</v>
      </c>
    </row>
    <row r="1542" spans="1:6" ht="12">
      <c r="A1542" s="191">
        <v>510303</v>
      </c>
      <c r="B1542" s="171" t="s">
        <v>2608</v>
      </c>
      <c r="C1542" s="165" t="s">
        <v>2610</v>
      </c>
      <c r="D1542" s="179" t="s">
        <v>2611</v>
      </c>
      <c r="E1542" s="121">
        <v>0</v>
      </c>
      <c r="F1542" s="120">
        <f>304+372+216</f>
        <v>892</v>
      </c>
    </row>
    <row r="1543" spans="1:6" ht="12">
      <c r="A1543" s="191">
        <v>510303</v>
      </c>
      <c r="B1543" s="171" t="s">
        <v>2608</v>
      </c>
      <c r="C1543" s="169" t="s">
        <v>2612</v>
      </c>
      <c r="D1543" s="179" t="s">
        <v>2587</v>
      </c>
      <c r="E1543" s="121">
        <v>0</v>
      </c>
      <c r="F1543" s="120">
        <f>995+4679+11028+3325</f>
        <v>20027</v>
      </c>
    </row>
    <row r="1544" spans="1:6" ht="12">
      <c r="A1544" s="191">
        <v>510303</v>
      </c>
      <c r="B1544" s="171" t="s">
        <v>2608</v>
      </c>
      <c r="C1544" s="164" t="s">
        <v>979</v>
      </c>
      <c r="D1544" s="179" t="s">
        <v>2613</v>
      </c>
      <c r="E1544" s="121">
        <v>0</v>
      </c>
      <c r="F1544" s="120">
        <f>798+1224+567</f>
        <v>2589</v>
      </c>
    </row>
    <row r="1545" spans="1:6" ht="12">
      <c r="A1545" s="191">
        <v>510305</v>
      </c>
      <c r="B1545" s="171" t="s">
        <v>2614</v>
      </c>
      <c r="C1545" s="169" t="s">
        <v>2612</v>
      </c>
      <c r="D1545" s="179" t="s">
        <v>2615</v>
      </c>
      <c r="E1545" s="121">
        <v>0</v>
      </c>
      <c r="F1545" s="120">
        <f>477+7493+10343</f>
        <v>18313</v>
      </c>
    </row>
    <row r="1546" spans="1:6" ht="24">
      <c r="A1546" s="191">
        <v>510306</v>
      </c>
      <c r="B1546" s="171" t="s">
        <v>2616</v>
      </c>
      <c r="C1546" s="165" t="s">
        <v>2617</v>
      </c>
      <c r="D1546" s="179" t="s">
        <v>2588</v>
      </c>
      <c r="E1546" s="121">
        <v>0</v>
      </c>
      <c r="F1546" s="120">
        <f>35375+49743</f>
        <v>85118</v>
      </c>
    </row>
    <row r="1547" spans="1:6" ht="24">
      <c r="A1547" s="191">
        <v>510306</v>
      </c>
      <c r="B1547" s="171" t="s">
        <v>2616</v>
      </c>
      <c r="C1547" s="167" t="s">
        <v>989</v>
      </c>
      <c r="D1547" s="179" t="s">
        <v>2618</v>
      </c>
      <c r="E1547" s="121">
        <v>0</v>
      </c>
      <c r="F1547" s="120">
        <f>5048+7981</f>
        <v>13029</v>
      </c>
    </row>
    <row r="1548" spans="1:6" ht="24">
      <c r="A1548" s="191">
        <v>510306</v>
      </c>
      <c r="B1548" s="171" t="s">
        <v>2616</v>
      </c>
      <c r="C1548" s="169" t="s">
        <v>2612</v>
      </c>
      <c r="D1548" s="179" t="s">
        <v>2587</v>
      </c>
      <c r="E1548" s="121">
        <v>0</v>
      </c>
      <c r="F1548" s="120">
        <f>3761+52395+83207-1572</f>
        <v>137791</v>
      </c>
    </row>
    <row r="1549" spans="1:6" ht="12">
      <c r="A1549" s="191">
        <v>510401</v>
      </c>
      <c r="B1549" s="171" t="s">
        <v>2619</v>
      </c>
      <c r="C1549" s="167" t="s">
        <v>2620</v>
      </c>
      <c r="D1549" s="181" t="s">
        <v>2621</v>
      </c>
      <c r="E1549" s="121">
        <v>0</v>
      </c>
      <c r="F1549" s="120">
        <f>4365179+2849</f>
        <v>4368028</v>
      </c>
    </row>
    <row r="1550" spans="1:6" ht="12">
      <c r="A1550" s="191">
        <v>510402</v>
      </c>
      <c r="B1550" s="171" t="s">
        <v>2622</v>
      </c>
      <c r="C1550" s="167" t="s">
        <v>2623</v>
      </c>
      <c r="D1550" s="181" t="s">
        <v>2624</v>
      </c>
      <c r="E1550" s="121">
        <v>0</v>
      </c>
      <c r="F1550" s="120">
        <f>18724+475</f>
        <v>19199</v>
      </c>
    </row>
    <row r="1551" spans="1:6" ht="12">
      <c r="A1551" s="191">
        <v>510403</v>
      </c>
      <c r="B1551" s="171" t="s">
        <v>2625</v>
      </c>
      <c r="C1551" s="169" t="s">
        <v>2626</v>
      </c>
      <c r="D1551" s="181" t="s">
        <v>2627</v>
      </c>
      <c r="E1551" s="121">
        <v>0</v>
      </c>
      <c r="F1551" s="120">
        <f>684618+475</f>
        <v>685093</v>
      </c>
    </row>
    <row r="1552" spans="1:6" ht="12">
      <c r="A1552" s="191">
        <v>511117</v>
      </c>
      <c r="B1552" s="171" t="s">
        <v>2628</v>
      </c>
      <c r="C1552" s="169">
        <v>234111001</v>
      </c>
      <c r="D1552" s="181" t="s">
        <v>2629</v>
      </c>
      <c r="E1552" s="121">
        <v>0</v>
      </c>
      <c r="F1552" s="120">
        <v>31237</v>
      </c>
    </row>
    <row r="1553" spans="1:6" ht="12">
      <c r="A1553" s="191">
        <v>511117</v>
      </c>
      <c r="B1553" s="171" t="s">
        <v>2628</v>
      </c>
      <c r="C1553" s="167" t="s">
        <v>2630</v>
      </c>
      <c r="D1553" s="181" t="s">
        <v>2631</v>
      </c>
      <c r="E1553" s="121">
        <v>0</v>
      </c>
      <c r="F1553" s="120">
        <v>36693</v>
      </c>
    </row>
    <row r="1554" spans="1:6" ht="12">
      <c r="A1554" s="191">
        <v>511117</v>
      </c>
      <c r="B1554" s="171" t="s">
        <v>2628</v>
      </c>
      <c r="C1554" s="169">
        <v>234011001</v>
      </c>
      <c r="D1554" s="181" t="s">
        <v>2632</v>
      </c>
      <c r="E1554" s="121">
        <v>0</v>
      </c>
      <c r="F1554" s="120">
        <v>9581</v>
      </c>
    </row>
    <row r="1555" spans="1:6" ht="12">
      <c r="A1555" s="191">
        <v>511123</v>
      </c>
      <c r="B1555" s="171" t="s">
        <v>2633</v>
      </c>
      <c r="C1555" s="167" t="s">
        <v>2634</v>
      </c>
      <c r="D1555" s="181" t="s">
        <v>2635</v>
      </c>
      <c r="E1555" s="121">
        <v>0</v>
      </c>
      <c r="F1555" s="120">
        <v>2946</v>
      </c>
    </row>
    <row r="1556" spans="1:6" ht="12">
      <c r="A1556" s="191">
        <v>512001</v>
      </c>
      <c r="B1556" s="171" t="s">
        <v>2753</v>
      </c>
      <c r="C1556" s="167">
        <v>210111001</v>
      </c>
      <c r="D1556" s="181" t="s">
        <v>2598</v>
      </c>
      <c r="E1556" s="121">
        <v>0</v>
      </c>
      <c r="F1556" s="120">
        <f>4667+5400</f>
        <v>10067</v>
      </c>
    </row>
    <row r="1557" spans="1:6" ht="12">
      <c r="A1557" s="191">
        <v>512011</v>
      </c>
      <c r="B1557" s="171" t="s">
        <v>2636</v>
      </c>
      <c r="C1557" s="167">
        <v>112525000</v>
      </c>
      <c r="D1557" s="181" t="s">
        <v>2637</v>
      </c>
      <c r="E1557" s="121">
        <v>0</v>
      </c>
      <c r="F1557" s="120">
        <v>1850</v>
      </c>
    </row>
    <row r="1558" spans="1:6" ht="12">
      <c r="A1558" s="191">
        <v>512011</v>
      </c>
      <c r="B1558" s="171" t="s">
        <v>2638</v>
      </c>
      <c r="C1558" s="167">
        <v>210111001</v>
      </c>
      <c r="D1558" s="181" t="s">
        <v>2598</v>
      </c>
      <c r="E1558" s="121">
        <v>0</v>
      </c>
      <c r="F1558" s="120">
        <v>2237</v>
      </c>
    </row>
    <row r="1559" spans="1:6" ht="11.25" customHeight="1">
      <c r="A1559" s="191">
        <v>512011</v>
      </c>
      <c r="B1559" s="171" t="s">
        <v>2638</v>
      </c>
      <c r="C1559" s="169">
        <v>112525000</v>
      </c>
      <c r="D1559" s="181" t="s">
        <v>2639</v>
      </c>
      <c r="E1559" s="121">
        <v>0</v>
      </c>
      <c r="F1559" s="120">
        <f>2366+402</f>
        <v>2768</v>
      </c>
    </row>
    <row r="1560" spans="1:6" ht="11.25" customHeight="1">
      <c r="A1560" s="191">
        <v>512011</v>
      </c>
      <c r="B1560" s="171" t="s">
        <v>2638</v>
      </c>
      <c r="C1560" s="169">
        <v>117676000</v>
      </c>
      <c r="D1560" s="181" t="s">
        <v>2754</v>
      </c>
      <c r="E1560" s="121">
        <v>0</v>
      </c>
      <c r="F1560" s="120">
        <v>959</v>
      </c>
    </row>
    <row r="1561" spans="1:6" ht="12">
      <c r="A1561" s="191">
        <v>512024</v>
      </c>
      <c r="B1561" s="171" t="s">
        <v>2640</v>
      </c>
      <c r="C1561" s="169">
        <v>910300000</v>
      </c>
      <c r="D1561" s="181" t="s">
        <v>2641</v>
      </c>
      <c r="E1561" s="121">
        <v>0</v>
      </c>
      <c r="F1561" s="120">
        <v>7844</v>
      </c>
    </row>
    <row r="1562" spans="1:6" ht="14.25" customHeight="1">
      <c r="A1562" s="190">
        <v>540301</v>
      </c>
      <c r="B1562" s="176" t="s">
        <v>2642</v>
      </c>
      <c r="C1562" s="165" t="s">
        <v>2643</v>
      </c>
      <c r="D1562" s="181" t="s">
        <v>2644</v>
      </c>
      <c r="E1562" s="121">
        <v>518418038</v>
      </c>
      <c r="F1562" s="120">
        <v>0</v>
      </c>
    </row>
    <row r="1563" spans="1:6" ht="24">
      <c r="A1563" s="190">
        <v>540304</v>
      </c>
      <c r="B1563" s="176" t="s">
        <v>2645</v>
      </c>
      <c r="C1563" s="164" t="s">
        <v>979</v>
      </c>
      <c r="D1563" s="181" t="s">
        <v>980</v>
      </c>
      <c r="E1563" s="121">
        <v>212900942</v>
      </c>
      <c r="F1563" s="120">
        <v>0</v>
      </c>
    </row>
    <row r="1564" spans="1:6" ht="24">
      <c r="A1564" s="190">
        <v>540304</v>
      </c>
      <c r="B1564" s="178" t="s">
        <v>2645</v>
      </c>
      <c r="C1564" s="169">
        <v>821700000</v>
      </c>
      <c r="D1564" s="181" t="s">
        <v>2646</v>
      </c>
      <c r="E1564" s="121">
        <v>2212651</v>
      </c>
      <c r="F1564" s="120">
        <v>0</v>
      </c>
    </row>
    <row r="1565" spans="1:6" ht="24">
      <c r="A1565" s="190">
        <v>540304</v>
      </c>
      <c r="B1565" s="178" t="s">
        <v>2645</v>
      </c>
      <c r="C1565" s="167" t="s">
        <v>2647</v>
      </c>
      <c r="D1565" s="179" t="s">
        <v>2648</v>
      </c>
      <c r="E1565" s="121">
        <v>7814553</v>
      </c>
      <c r="F1565" s="120">
        <v>0</v>
      </c>
    </row>
    <row r="1566" spans="1:6" ht="24">
      <c r="A1566" s="190">
        <v>540304</v>
      </c>
      <c r="B1566" s="178" t="s">
        <v>2645</v>
      </c>
      <c r="C1566" s="169">
        <v>826076000</v>
      </c>
      <c r="D1566" s="179" t="s">
        <v>2649</v>
      </c>
      <c r="E1566" s="121">
        <v>2440234</v>
      </c>
      <c r="F1566" s="120">
        <v>0</v>
      </c>
    </row>
    <row r="1567" spans="1:6" ht="24">
      <c r="A1567" s="190">
        <v>540304</v>
      </c>
      <c r="B1567" s="178" t="s">
        <v>2645</v>
      </c>
      <c r="C1567" s="167" t="s">
        <v>2650</v>
      </c>
      <c r="D1567" s="179" t="s">
        <v>2651</v>
      </c>
      <c r="E1567" s="121">
        <v>25274120</v>
      </c>
      <c r="F1567" s="120">
        <v>0</v>
      </c>
    </row>
    <row r="1568" spans="1:6" ht="24">
      <c r="A1568" s="190">
        <v>540304</v>
      </c>
      <c r="B1568" s="178" t="s">
        <v>2645</v>
      </c>
      <c r="C1568" s="167" t="s">
        <v>2652</v>
      </c>
      <c r="D1568" s="179" t="s">
        <v>2653</v>
      </c>
      <c r="E1568" s="121">
        <v>13462409</v>
      </c>
      <c r="F1568" s="120">
        <v>0</v>
      </c>
    </row>
    <row r="1569" spans="1:6" ht="24">
      <c r="A1569" s="190">
        <v>540304</v>
      </c>
      <c r="B1569" s="178" t="s">
        <v>2645</v>
      </c>
      <c r="C1569" s="164" t="s">
        <v>2654</v>
      </c>
      <c r="D1569" s="179" t="s">
        <v>2655</v>
      </c>
      <c r="E1569" s="121">
        <v>5805642</v>
      </c>
      <c r="F1569" s="120">
        <v>0</v>
      </c>
    </row>
    <row r="1570" spans="1:6" ht="24">
      <c r="A1570" s="190">
        <v>540304</v>
      </c>
      <c r="B1570" s="178" t="s">
        <v>2645</v>
      </c>
      <c r="C1570" s="165" t="s">
        <v>2656</v>
      </c>
      <c r="D1570" s="179" t="s">
        <v>2657</v>
      </c>
      <c r="E1570" s="121">
        <v>26377862</v>
      </c>
      <c r="F1570" s="120">
        <v>0</v>
      </c>
    </row>
    <row r="1571" spans="1:6" ht="24">
      <c r="A1571" s="190">
        <v>540304</v>
      </c>
      <c r="B1571" s="178" t="s">
        <v>2645</v>
      </c>
      <c r="C1571" s="165" t="s">
        <v>981</v>
      </c>
      <c r="D1571" s="179" t="s">
        <v>2658</v>
      </c>
      <c r="E1571" s="121">
        <v>28541094</v>
      </c>
      <c r="F1571" s="120">
        <v>0</v>
      </c>
    </row>
    <row r="1572" spans="1:6" ht="24">
      <c r="A1572" s="190">
        <v>540304</v>
      </c>
      <c r="B1572" s="178" t="s">
        <v>2645</v>
      </c>
      <c r="C1572" s="164" t="s">
        <v>983</v>
      </c>
      <c r="D1572" s="179" t="s">
        <v>2659</v>
      </c>
      <c r="E1572" s="121">
        <v>17018280</v>
      </c>
      <c r="F1572" s="120">
        <v>0</v>
      </c>
    </row>
    <row r="1573" spans="1:6" ht="24">
      <c r="A1573" s="190">
        <v>540304</v>
      </c>
      <c r="B1573" s="178" t="s">
        <v>2645</v>
      </c>
      <c r="C1573" s="164" t="s">
        <v>2660</v>
      </c>
      <c r="D1573" s="179" t="s">
        <v>2661</v>
      </c>
      <c r="E1573" s="121">
        <v>31675158</v>
      </c>
      <c r="F1573" s="120">
        <v>0</v>
      </c>
    </row>
    <row r="1574" spans="1:6" ht="24">
      <c r="A1574" s="190">
        <v>540304</v>
      </c>
      <c r="B1574" s="178" t="s">
        <v>2645</v>
      </c>
      <c r="C1574" s="165" t="s">
        <v>2662</v>
      </c>
      <c r="D1574" s="179" t="s">
        <v>2663</v>
      </c>
      <c r="E1574" s="121">
        <v>11152329</v>
      </c>
      <c r="F1574" s="120">
        <v>0</v>
      </c>
    </row>
    <row r="1575" spans="1:6" ht="24">
      <c r="A1575" s="190">
        <v>540304</v>
      </c>
      <c r="B1575" s="178" t="s">
        <v>2645</v>
      </c>
      <c r="C1575" s="164" t="s">
        <v>2664</v>
      </c>
      <c r="D1575" s="179" t="s">
        <v>2665</v>
      </c>
      <c r="E1575" s="121">
        <v>4470420</v>
      </c>
      <c r="F1575" s="120">
        <v>0</v>
      </c>
    </row>
    <row r="1576" spans="1:6" ht="24">
      <c r="A1576" s="190">
        <v>540304</v>
      </c>
      <c r="B1576" s="178" t="s">
        <v>2645</v>
      </c>
      <c r="C1576" s="164" t="s">
        <v>2666</v>
      </c>
      <c r="D1576" s="179" t="s">
        <v>2667</v>
      </c>
      <c r="E1576" s="121">
        <v>30065956</v>
      </c>
      <c r="F1576" s="120">
        <v>0</v>
      </c>
    </row>
    <row r="1577" spans="1:6" ht="24">
      <c r="A1577" s="190">
        <v>540304</v>
      </c>
      <c r="B1577" s="178" t="s">
        <v>2645</v>
      </c>
      <c r="C1577" s="164" t="s">
        <v>2668</v>
      </c>
      <c r="D1577" s="179" t="s">
        <v>2669</v>
      </c>
      <c r="E1577" s="121">
        <v>6825686</v>
      </c>
      <c r="F1577" s="120">
        <v>0</v>
      </c>
    </row>
    <row r="1578" spans="1:6" ht="24">
      <c r="A1578" s="190">
        <v>540311</v>
      </c>
      <c r="B1578" s="178" t="s">
        <v>2670</v>
      </c>
      <c r="C1578" s="169">
        <v>120205000</v>
      </c>
      <c r="D1578" s="178" t="s">
        <v>2671</v>
      </c>
      <c r="E1578" s="121">
        <v>79533600</v>
      </c>
      <c r="F1578" s="120">
        <v>0</v>
      </c>
    </row>
    <row r="1579" spans="1:6" ht="24">
      <c r="A1579" s="190">
        <v>540311</v>
      </c>
      <c r="B1579" s="178" t="s">
        <v>2670</v>
      </c>
      <c r="C1579" s="169">
        <v>120676000</v>
      </c>
      <c r="D1579" s="178" t="s">
        <v>2672</v>
      </c>
      <c r="E1579" s="121">
        <v>65541376</v>
      </c>
      <c r="F1579" s="120">
        <v>0</v>
      </c>
    </row>
    <row r="1580" spans="1:6" ht="24">
      <c r="A1580" s="190">
        <v>540311</v>
      </c>
      <c r="B1580" s="178" t="s">
        <v>2670</v>
      </c>
      <c r="C1580" s="169">
        <v>121647000</v>
      </c>
      <c r="D1580" s="178" t="s">
        <v>2673</v>
      </c>
      <c r="E1580" s="121">
        <v>11628296</v>
      </c>
      <c r="F1580" s="120">
        <v>0</v>
      </c>
    </row>
    <row r="1581" spans="1:6" ht="24">
      <c r="A1581" s="190">
        <v>540311</v>
      </c>
      <c r="B1581" s="178" t="s">
        <v>2670</v>
      </c>
      <c r="C1581" s="169">
        <v>121708000</v>
      </c>
      <c r="D1581" s="178" t="s">
        <v>2674</v>
      </c>
      <c r="E1581" s="121">
        <v>39577734</v>
      </c>
      <c r="F1581" s="120">
        <v>0</v>
      </c>
    </row>
    <row r="1582" spans="1:6" ht="24">
      <c r="A1582" s="190">
        <v>540311</v>
      </c>
      <c r="B1582" s="178" t="s">
        <v>2670</v>
      </c>
      <c r="C1582" s="169">
        <v>122613000</v>
      </c>
      <c r="D1582" s="178" t="s">
        <v>2675</v>
      </c>
      <c r="E1582" s="121">
        <v>22036957</v>
      </c>
      <c r="F1582" s="120">
        <v>0</v>
      </c>
    </row>
    <row r="1583" spans="1:6" ht="24">
      <c r="A1583" s="190">
        <v>540311</v>
      </c>
      <c r="B1583" s="178" t="s">
        <v>2670</v>
      </c>
      <c r="C1583" s="169">
        <v>124876000</v>
      </c>
      <c r="D1583" s="178" t="s">
        <v>2676</v>
      </c>
      <c r="E1583" s="121">
        <v>527745</v>
      </c>
      <c r="F1583" s="120">
        <v>0</v>
      </c>
    </row>
    <row r="1584" spans="1:6" ht="24">
      <c r="A1584" s="190">
        <v>540311</v>
      </c>
      <c r="B1584" s="178" t="s">
        <v>2670</v>
      </c>
      <c r="C1584" s="169">
        <v>124552000</v>
      </c>
      <c r="D1584" s="178" t="s">
        <v>2677</v>
      </c>
      <c r="E1584" s="121">
        <v>16535699</v>
      </c>
      <c r="F1584" s="120">
        <v>0</v>
      </c>
    </row>
    <row r="1585" spans="1:6" ht="24">
      <c r="A1585" s="190">
        <v>540311</v>
      </c>
      <c r="B1585" s="178" t="s">
        <v>2670</v>
      </c>
      <c r="C1585" s="169">
        <v>125454000</v>
      </c>
      <c r="D1585" s="178" t="s">
        <v>2678</v>
      </c>
      <c r="E1585" s="121">
        <v>7656825</v>
      </c>
      <c r="F1585" s="120">
        <v>0</v>
      </c>
    </row>
    <row r="1586" spans="1:6" ht="24">
      <c r="A1586" s="190">
        <v>540311</v>
      </c>
      <c r="B1586" s="178" t="s">
        <v>2670</v>
      </c>
      <c r="C1586" s="169">
        <v>126663000</v>
      </c>
      <c r="D1586" s="178" t="s">
        <v>2679</v>
      </c>
      <c r="E1586" s="121">
        <v>13747040</v>
      </c>
      <c r="F1586" s="120">
        <v>0</v>
      </c>
    </row>
    <row r="1587" spans="1:6" ht="24">
      <c r="A1587" s="190">
        <v>540311</v>
      </c>
      <c r="B1587" s="178" t="s">
        <v>2670</v>
      </c>
      <c r="C1587" s="169">
        <v>127625000</v>
      </c>
      <c r="D1587" s="178" t="s">
        <v>2680</v>
      </c>
      <c r="E1587" s="121">
        <v>2451921</v>
      </c>
      <c r="F1587" s="120">
        <v>0</v>
      </c>
    </row>
    <row r="1588" spans="1:6" ht="24">
      <c r="A1588" s="190">
        <v>540311</v>
      </c>
      <c r="B1588" s="178" t="s">
        <v>2670</v>
      </c>
      <c r="C1588" s="169">
        <v>128868000</v>
      </c>
      <c r="D1588" s="178" t="s">
        <v>2681</v>
      </c>
      <c r="E1588" s="121">
        <v>31846319</v>
      </c>
      <c r="F1588" s="120">
        <v>0</v>
      </c>
    </row>
    <row r="1589" spans="1:6" ht="24">
      <c r="A1589" s="190">
        <v>540311</v>
      </c>
      <c r="B1589" s="178" t="s">
        <v>2670</v>
      </c>
      <c r="C1589" s="169">
        <v>128870000</v>
      </c>
      <c r="D1589" s="178" t="s">
        <v>2682</v>
      </c>
      <c r="E1589" s="121">
        <v>4292122</v>
      </c>
      <c r="F1589" s="120">
        <v>0</v>
      </c>
    </row>
    <row r="1590" spans="1:6" ht="24">
      <c r="A1590" s="190">
        <v>540311</v>
      </c>
      <c r="B1590" s="178" t="s">
        <v>2670</v>
      </c>
      <c r="C1590" s="169">
        <v>125354000</v>
      </c>
      <c r="D1590" s="178" t="s">
        <v>2683</v>
      </c>
      <c r="E1590" s="121">
        <v>8295322</v>
      </c>
      <c r="F1590" s="120">
        <v>0</v>
      </c>
    </row>
    <row r="1591" spans="1:6" ht="24">
      <c r="A1591" s="190">
        <v>540311</v>
      </c>
      <c r="B1591" s="178" t="s">
        <v>2670</v>
      </c>
      <c r="C1591" s="169">
        <v>129254000</v>
      </c>
      <c r="D1591" s="178" t="s">
        <v>2684</v>
      </c>
      <c r="E1591" s="121">
        <v>2002556</v>
      </c>
      <c r="F1591" s="120">
        <v>0</v>
      </c>
    </row>
    <row r="1592" spans="1:6" ht="24">
      <c r="A1592" s="190">
        <v>540311</v>
      </c>
      <c r="B1592" s="178" t="s">
        <v>2670</v>
      </c>
      <c r="C1592" s="169">
        <v>129373000</v>
      </c>
      <c r="D1592" s="178" t="s">
        <v>2685</v>
      </c>
      <c r="E1592" s="121">
        <v>10988016</v>
      </c>
      <c r="F1592" s="120">
        <v>0</v>
      </c>
    </row>
    <row r="1593" spans="1:6" ht="24">
      <c r="A1593" s="190">
        <v>540311</v>
      </c>
      <c r="B1593" s="178" t="s">
        <v>2670</v>
      </c>
      <c r="C1593" s="169">
        <v>129444000</v>
      </c>
      <c r="D1593" s="178" t="s">
        <v>2686</v>
      </c>
      <c r="E1593" s="121">
        <v>4333708</v>
      </c>
      <c r="F1593" s="120">
        <v>0</v>
      </c>
    </row>
    <row r="1594" spans="1:6" ht="24">
      <c r="A1594" s="190">
        <v>540318</v>
      </c>
      <c r="B1594" s="178" t="s">
        <v>2687</v>
      </c>
      <c r="C1594" s="169">
        <v>222711001</v>
      </c>
      <c r="D1594" s="178" t="s">
        <v>2688</v>
      </c>
      <c r="E1594" s="121">
        <v>4623705</v>
      </c>
      <c r="F1594" s="120">
        <v>0</v>
      </c>
    </row>
    <row r="1595" spans="1:6" ht="12">
      <c r="A1595" s="190">
        <v>540802</v>
      </c>
      <c r="B1595" s="178" t="s">
        <v>2689</v>
      </c>
      <c r="C1595" s="167">
        <v>110505000</v>
      </c>
      <c r="D1595" s="178" t="s">
        <v>2690</v>
      </c>
      <c r="E1595" s="121">
        <v>268941865</v>
      </c>
      <c r="F1595" s="120">
        <v>0</v>
      </c>
    </row>
    <row r="1596" spans="1:6" ht="12">
      <c r="A1596" s="190">
        <v>540802</v>
      </c>
      <c r="B1596" s="178" t="s">
        <v>2689</v>
      </c>
      <c r="C1596" s="169">
        <v>110808000</v>
      </c>
      <c r="D1596" s="178" t="s">
        <v>2691</v>
      </c>
      <c r="E1596" s="121">
        <v>62048896</v>
      </c>
      <c r="F1596" s="120">
        <v>0</v>
      </c>
    </row>
    <row r="1597" spans="1:6" ht="12">
      <c r="A1597" s="190">
        <v>540802</v>
      </c>
      <c r="B1597" s="178" t="s">
        <v>2689</v>
      </c>
      <c r="C1597" s="169">
        <v>111313000</v>
      </c>
      <c r="D1597" s="178" t="s">
        <v>2692</v>
      </c>
      <c r="E1597" s="121">
        <v>116002254</v>
      </c>
      <c r="F1597" s="120">
        <v>0</v>
      </c>
    </row>
    <row r="1598" spans="1:6" ht="12">
      <c r="A1598" s="190">
        <v>540802</v>
      </c>
      <c r="B1598" s="178" t="s">
        <v>2689</v>
      </c>
      <c r="C1598" s="169">
        <v>111515000</v>
      </c>
      <c r="D1598" s="178" t="s">
        <v>2693</v>
      </c>
      <c r="E1598" s="121">
        <v>125110647</v>
      </c>
      <c r="F1598" s="120">
        <v>0</v>
      </c>
    </row>
    <row r="1599" spans="1:6" ht="12">
      <c r="A1599" s="190">
        <v>540802</v>
      </c>
      <c r="B1599" s="178" t="s">
        <v>2689</v>
      </c>
      <c r="C1599" s="169">
        <v>111717000</v>
      </c>
      <c r="D1599" s="178" t="s">
        <v>2694</v>
      </c>
      <c r="E1599" s="121">
        <v>62194221</v>
      </c>
      <c r="F1599" s="120">
        <v>0</v>
      </c>
    </row>
    <row r="1600" spans="1:6" ht="12">
      <c r="A1600" s="190">
        <v>540802</v>
      </c>
      <c r="B1600" s="178" t="s">
        <v>2689</v>
      </c>
      <c r="C1600" s="169">
        <v>111818000</v>
      </c>
      <c r="D1600" s="178" t="s">
        <v>2695</v>
      </c>
      <c r="E1600" s="121">
        <v>33319769</v>
      </c>
      <c r="F1600" s="120">
        <v>0</v>
      </c>
    </row>
    <row r="1601" spans="1:6" ht="12">
      <c r="A1601" s="190">
        <v>540802</v>
      </c>
      <c r="B1601" s="178" t="s">
        <v>2689</v>
      </c>
      <c r="C1601" s="169">
        <v>111919000</v>
      </c>
      <c r="D1601" s="178" t="s">
        <v>2696</v>
      </c>
      <c r="E1601" s="121">
        <v>115185876</v>
      </c>
      <c r="F1601" s="120">
        <v>0</v>
      </c>
    </row>
    <row r="1602" spans="1:6" ht="12">
      <c r="A1602" s="190">
        <v>540802</v>
      </c>
      <c r="B1602" s="178" t="s">
        <v>2689</v>
      </c>
      <c r="C1602" s="169">
        <v>112020000</v>
      </c>
      <c r="D1602" s="178" t="s">
        <v>2697</v>
      </c>
      <c r="E1602" s="121">
        <v>71462367</v>
      </c>
      <c r="F1602" s="120">
        <v>0</v>
      </c>
    </row>
    <row r="1603" spans="1:6" ht="12">
      <c r="A1603" s="190">
        <v>540802</v>
      </c>
      <c r="B1603" s="178" t="s">
        <v>2689</v>
      </c>
      <c r="C1603" s="169">
        <v>112727000</v>
      </c>
      <c r="D1603" s="178" t="s">
        <v>2698</v>
      </c>
      <c r="E1603" s="121">
        <v>114140817</v>
      </c>
      <c r="F1603" s="120">
        <v>0</v>
      </c>
    </row>
    <row r="1604" spans="1:6" ht="12">
      <c r="A1604" s="190">
        <v>540802</v>
      </c>
      <c r="B1604" s="178" t="s">
        <v>2689</v>
      </c>
      <c r="C1604" s="169">
        <v>112323000</v>
      </c>
      <c r="D1604" s="178" t="s">
        <v>2699</v>
      </c>
      <c r="E1604" s="121">
        <v>172604455</v>
      </c>
      <c r="F1604" s="120">
        <v>0</v>
      </c>
    </row>
    <row r="1605" spans="1:6" ht="12">
      <c r="A1605" s="190">
        <v>540802</v>
      </c>
      <c r="B1605" s="178" t="s">
        <v>2689</v>
      </c>
      <c r="C1605" s="169">
        <v>112525000</v>
      </c>
      <c r="D1605" s="178" t="s">
        <v>2700</v>
      </c>
      <c r="E1605" s="121">
        <v>67732448</v>
      </c>
      <c r="F1605" s="120">
        <v>0</v>
      </c>
    </row>
    <row r="1606" spans="1:6" ht="12">
      <c r="A1606" s="190">
        <v>540802</v>
      </c>
      <c r="B1606" s="178" t="s">
        <v>2689</v>
      </c>
      <c r="C1606" s="169">
        <v>114141000</v>
      </c>
      <c r="D1606" s="178" t="s">
        <v>2701</v>
      </c>
      <c r="E1606" s="121">
        <v>76258247</v>
      </c>
      <c r="F1606" s="120">
        <v>0</v>
      </c>
    </row>
    <row r="1607" spans="1:6" ht="12">
      <c r="A1607" s="190">
        <v>540802</v>
      </c>
      <c r="B1607" s="178" t="s">
        <v>2689</v>
      </c>
      <c r="C1607" s="169">
        <v>114444000</v>
      </c>
      <c r="D1607" s="178" t="s">
        <v>2702</v>
      </c>
      <c r="E1607" s="121">
        <v>52794670</v>
      </c>
      <c r="F1607" s="120">
        <v>0</v>
      </c>
    </row>
    <row r="1608" spans="1:6" ht="12">
      <c r="A1608" s="190">
        <v>540802</v>
      </c>
      <c r="B1608" s="178" t="s">
        <v>2689</v>
      </c>
      <c r="C1608" s="169">
        <v>114747000</v>
      </c>
      <c r="D1608" s="178" t="s">
        <v>2703</v>
      </c>
      <c r="E1608" s="121">
        <v>90639236</v>
      </c>
      <c r="F1608" s="120">
        <v>0</v>
      </c>
    </row>
    <row r="1609" spans="1:6" ht="12">
      <c r="A1609" s="190">
        <v>540802</v>
      </c>
      <c r="B1609" s="178" t="s">
        <v>2689</v>
      </c>
      <c r="C1609" s="169">
        <v>115050000</v>
      </c>
      <c r="D1609" s="178" t="s">
        <v>2704</v>
      </c>
      <c r="E1609" s="121">
        <v>43304772</v>
      </c>
      <c r="F1609" s="120">
        <v>0</v>
      </c>
    </row>
    <row r="1610" spans="1:6" ht="12">
      <c r="A1610" s="190">
        <v>540802</v>
      </c>
      <c r="B1610" s="178" t="s">
        <v>2689</v>
      </c>
      <c r="C1610" s="169">
        <v>115252000</v>
      </c>
      <c r="D1610" s="178" t="s">
        <v>2705</v>
      </c>
      <c r="E1610" s="121">
        <v>113884003</v>
      </c>
      <c r="F1610" s="120">
        <v>0</v>
      </c>
    </row>
    <row r="1611" spans="1:6" ht="12">
      <c r="A1611" s="190">
        <v>540802</v>
      </c>
      <c r="B1611" s="178" t="s">
        <v>2689</v>
      </c>
      <c r="C1611" s="169">
        <v>115454000</v>
      </c>
      <c r="D1611" s="178" t="s">
        <v>2706</v>
      </c>
      <c r="E1611" s="121">
        <v>73094421</v>
      </c>
      <c r="F1611" s="120">
        <v>0</v>
      </c>
    </row>
    <row r="1612" spans="1:6" ht="12">
      <c r="A1612" s="190">
        <v>540802</v>
      </c>
      <c r="B1612" s="178" t="s">
        <v>2689</v>
      </c>
      <c r="C1612" s="169">
        <v>116363000</v>
      </c>
      <c r="D1612" s="178" t="s">
        <v>2707</v>
      </c>
      <c r="E1612" s="121">
        <v>27866188</v>
      </c>
      <c r="F1612" s="120">
        <v>0</v>
      </c>
    </row>
    <row r="1613" spans="1:6" ht="12">
      <c r="A1613" s="190">
        <v>540802</v>
      </c>
      <c r="B1613" s="178" t="s">
        <v>2689</v>
      </c>
      <c r="C1613" s="169">
        <v>116666000</v>
      </c>
      <c r="D1613" s="178" t="s">
        <v>2708</v>
      </c>
      <c r="E1613" s="121">
        <v>32216749</v>
      </c>
      <c r="F1613" s="120">
        <v>0</v>
      </c>
    </row>
    <row r="1614" spans="1:6" ht="12">
      <c r="A1614" s="190">
        <v>540802</v>
      </c>
      <c r="B1614" s="178" t="s">
        <v>2689</v>
      </c>
      <c r="C1614" s="169">
        <v>116868000</v>
      </c>
      <c r="D1614" s="178" t="s">
        <v>2709</v>
      </c>
      <c r="E1614" s="121">
        <v>117071412</v>
      </c>
      <c r="F1614" s="120">
        <v>0</v>
      </c>
    </row>
    <row r="1615" spans="1:6" ht="12">
      <c r="A1615" s="190">
        <v>540802</v>
      </c>
      <c r="B1615" s="178" t="s">
        <v>2689</v>
      </c>
      <c r="C1615" s="169">
        <v>117070000</v>
      </c>
      <c r="D1615" s="178" t="s">
        <v>2710</v>
      </c>
      <c r="E1615" s="121">
        <v>73975515</v>
      </c>
      <c r="F1615" s="120">
        <v>0</v>
      </c>
    </row>
    <row r="1616" spans="1:6" ht="12">
      <c r="A1616" s="190">
        <v>540802</v>
      </c>
      <c r="B1616" s="178" t="s">
        <v>2689</v>
      </c>
      <c r="C1616" s="169">
        <v>117373000</v>
      </c>
      <c r="D1616" s="178" t="s">
        <v>2711</v>
      </c>
      <c r="E1616" s="121">
        <v>103780610</v>
      </c>
      <c r="F1616" s="120">
        <v>0</v>
      </c>
    </row>
    <row r="1617" spans="1:6" ht="12">
      <c r="A1617" s="190">
        <v>540802</v>
      </c>
      <c r="B1617" s="178" t="s">
        <v>2689</v>
      </c>
      <c r="C1617" s="169">
        <v>117676000</v>
      </c>
      <c r="D1617" s="178" t="s">
        <v>2712</v>
      </c>
      <c r="E1617" s="121">
        <v>110916611</v>
      </c>
      <c r="F1617" s="120">
        <v>0</v>
      </c>
    </row>
    <row r="1618" spans="1:6" ht="12">
      <c r="A1618" s="190">
        <v>540802</v>
      </c>
      <c r="B1618" s="178" t="s">
        <v>2689</v>
      </c>
      <c r="C1618" s="169">
        <v>118181000</v>
      </c>
      <c r="D1618" s="178" t="s">
        <v>2713</v>
      </c>
      <c r="E1618" s="121">
        <v>33062911</v>
      </c>
      <c r="F1618" s="120">
        <v>0</v>
      </c>
    </row>
    <row r="1619" spans="1:6" ht="12">
      <c r="A1619" s="190">
        <v>540802</v>
      </c>
      <c r="B1619" s="178" t="s">
        <v>2689</v>
      </c>
      <c r="C1619" s="169">
        <v>118585000</v>
      </c>
      <c r="D1619" s="178" t="s">
        <v>2714</v>
      </c>
      <c r="E1619" s="121">
        <v>37584539</v>
      </c>
      <c r="F1619" s="120">
        <v>0</v>
      </c>
    </row>
    <row r="1620" spans="1:6" ht="12">
      <c r="A1620" s="190">
        <v>540802</v>
      </c>
      <c r="B1620" s="178" t="s">
        <v>2689</v>
      </c>
      <c r="C1620" s="169">
        <v>118686000</v>
      </c>
      <c r="D1620" s="178" t="s">
        <v>2715</v>
      </c>
      <c r="E1620" s="121">
        <v>49730403</v>
      </c>
      <c r="F1620" s="120">
        <v>0</v>
      </c>
    </row>
    <row r="1621" spans="1:6" ht="12">
      <c r="A1621" s="190">
        <v>540802</v>
      </c>
      <c r="B1621" s="178" t="s">
        <v>2689</v>
      </c>
      <c r="C1621" s="169">
        <v>118888000</v>
      </c>
      <c r="D1621" s="178" t="s">
        <v>2716</v>
      </c>
      <c r="E1621" s="121">
        <v>8140708</v>
      </c>
      <c r="F1621" s="120">
        <v>0</v>
      </c>
    </row>
    <row r="1622" spans="1:6" ht="12">
      <c r="A1622" s="190">
        <v>540802</v>
      </c>
      <c r="B1622" s="178" t="s">
        <v>2689</v>
      </c>
      <c r="C1622" s="169">
        <v>119191000</v>
      </c>
      <c r="D1622" s="178" t="s">
        <v>2717</v>
      </c>
      <c r="E1622" s="121">
        <v>15759513</v>
      </c>
      <c r="F1622" s="120">
        <v>0</v>
      </c>
    </row>
    <row r="1623" spans="1:6" ht="12">
      <c r="A1623" s="190">
        <v>540802</v>
      </c>
      <c r="B1623" s="178" t="s">
        <v>2689</v>
      </c>
      <c r="C1623" s="169">
        <v>119494000</v>
      </c>
      <c r="D1623" s="178" t="s">
        <v>2718</v>
      </c>
      <c r="E1623" s="121">
        <v>8423534</v>
      </c>
      <c r="F1623" s="120">
        <v>0</v>
      </c>
    </row>
    <row r="1624" spans="1:6" ht="12">
      <c r="A1624" s="190">
        <v>540802</v>
      </c>
      <c r="B1624" s="178" t="s">
        <v>2689</v>
      </c>
      <c r="C1624" s="169">
        <v>119595000</v>
      </c>
      <c r="D1624" s="178" t="s">
        <v>2719</v>
      </c>
      <c r="E1624" s="121">
        <v>18346601</v>
      </c>
      <c r="F1624" s="120">
        <v>0</v>
      </c>
    </row>
    <row r="1625" spans="1:6" ht="12">
      <c r="A1625" s="190">
        <v>540802</v>
      </c>
      <c r="B1625" s="178" t="s">
        <v>2689</v>
      </c>
      <c r="C1625" s="169">
        <v>119797000</v>
      </c>
      <c r="D1625" s="178" t="s">
        <v>2720</v>
      </c>
      <c r="E1625" s="121">
        <v>8110666</v>
      </c>
      <c r="F1625" s="120">
        <v>0</v>
      </c>
    </row>
    <row r="1626" spans="1:6" ht="12">
      <c r="A1626" s="190">
        <v>540802</v>
      </c>
      <c r="B1626" s="178" t="s">
        <v>2689</v>
      </c>
      <c r="C1626" s="169">
        <v>119999000</v>
      </c>
      <c r="D1626" s="178" t="s">
        <v>2721</v>
      </c>
      <c r="E1626" s="121">
        <v>13669501</v>
      </c>
      <c r="F1626" s="120">
        <v>0</v>
      </c>
    </row>
    <row r="1627" spans="1:6" ht="24">
      <c r="A1627" s="190">
        <v>540806</v>
      </c>
      <c r="B1627" s="176" t="s">
        <v>2722</v>
      </c>
      <c r="C1627" s="169" t="s">
        <v>1026</v>
      </c>
      <c r="D1627" s="182" t="s">
        <v>1027</v>
      </c>
      <c r="E1627" s="121">
        <v>162001878</v>
      </c>
      <c r="F1627" s="120">
        <v>0</v>
      </c>
    </row>
    <row r="1628" spans="1:6" ht="24">
      <c r="A1628" s="190">
        <v>540806</v>
      </c>
      <c r="B1628" s="176" t="s">
        <v>2722</v>
      </c>
      <c r="C1628" s="169" t="s">
        <v>1028</v>
      </c>
      <c r="D1628" s="182" t="s">
        <v>1029</v>
      </c>
      <c r="E1628" s="121">
        <v>27145114</v>
      </c>
      <c r="F1628" s="120">
        <v>0</v>
      </c>
    </row>
    <row r="1629" spans="1:6" ht="24">
      <c r="A1629" s="190">
        <v>540806</v>
      </c>
      <c r="B1629" s="176" t="s">
        <v>2722</v>
      </c>
      <c r="C1629" s="169" t="s">
        <v>1030</v>
      </c>
      <c r="D1629" s="182" t="s">
        <v>1031</v>
      </c>
      <c r="E1629" s="121">
        <v>8364733</v>
      </c>
      <c r="F1629" s="120">
        <v>0</v>
      </c>
    </row>
    <row r="1630" spans="1:6" ht="24">
      <c r="A1630" s="190">
        <v>540806</v>
      </c>
      <c r="B1630" s="176" t="s">
        <v>2722</v>
      </c>
      <c r="C1630" s="169">
        <v>216005360</v>
      </c>
      <c r="D1630" s="171" t="s">
        <v>1032</v>
      </c>
      <c r="E1630" s="121">
        <v>16769270</v>
      </c>
      <c r="F1630" s="120">
        <v>0</v>
      </c>
    </row>
    <row r="1631" spans="1:6" ht="24">
      <c r="A1631" s="190">
        <v>540806</v>
      </c>
      <c r="B1631" s="176" t="s">
        <v>2722</v>
      </c>
      <c r="C1631" s="169" t="s">
        <v>1033</v>
      </c>
      <c r="D1631" s="182" t="s">
        <v>1034</v>
      </c>
      <c r="E1631" s="121">
        <v>17910159</v>
      </c>
      <c r="F1631" s="120">
        <v>0</v>
      </c>
    </row>
    <row r="1632" spans="1:6" ht="24">
      <c r="A1632" s="190">
        <v>540806</v>
      </c>
      <c r="B1632" s="176" t="s">
        <v>2722</v>
      </c>
      <c r="C1632" s="169" t="s">
        <v>1035</v>
      </c>
      <c r="D1632" s="182" t="s">
        <v>1036</v>
      </c>
      <c r="E1632" s="121">
        <v>21818866</v>
      </c>
      <c r="F1632" s="120">
        <v>0</v>
      </c>
    </row>
    <row r="1633" spans="1:6" ht="24">
      <c r="A1633" s="190">
        <v>540806</v>
      </c>
      <c r="B1633" s="176" t="s">
        <v>2722</v>
      </c>
      <c r="C1633" s="169" t="s">
        <v>1037</v>
      </c>
      <c r="D1633" s="182" t="s">
        <v>1038</v>
      </c>
      <c r="E1633" s="121">
        <v>13741600</v>
      </c>
      <c r="F1633" s="120">
        <v>0</v>
      </c>
    </row>
    <row r="1634" spans="1:6" ht="24">
      <c r="A1634" s="190">
        <v>540806</v>
      </c>
      <c r="B1634" s="176" t="s">
        <v>2722</v>
      </c>
      <c r="C1634" s="169" t="s">
        <v>1039</v>
      </c>
      <c r="D1634" s="171" t="s">
        <v>1040</v>
      </c>
      <c r="E1634" s="121">
        <v>18915531</v>
      </c>
      <c r="F1634" s="120">
        <v>0</v>
      </c>
    </row>
    <row r="1635" spans="1:6" ht="24">
      <c r="A1635" s="190">
        <v>540806</v>
      </c>
      <c r="B1635" s="176" t="s">
        <v>2722</v>
      </c>
      <c r="C1635" s="169" t="s">
        <v>1041</v>
      </c>
      <c r="D1635" s="182" t="s">
        <v>1042</v>
      </c>
      <c r="E1635" s="121">
        <v>12724597</v>
      </c>
      <c r="F1635" s="120">
        <v>0</v>
      </c>
    </row>
    <row r="1636" spans="1:6" ht="24">
      <c r="A1636" s="190">
        <v>540806</v>
      </c>
      <c r="B1636" s="176" t="s">
        <v>2722</v>
      </c>
      <c r="C1636" s="169">
        <v>215915759</v>
      </c>
      <c r="D1636" s="182" t="s">
        <v>1043</v>
      </c>
      <c r="E1636" s="121">
        <v>12632674</v>
      </c>
      <c r="F1636" s="120">
        <v>0</v>
      </c>
    </row>
    <row r="1637" spans="1:6" ht="24">
      <c r="A1637" s="190">
        <v>540806</v>
      </c>
      <c r="B1637" s="176" t="s">
        <v>2722</v>
      </c>
      <c r="C1637" s="169" t="s">
        <v>1044</v>
      </c>
      <c r="D1637" s="171" t="s">
        <v>1045</v>
      </c>
      <c r="E1637" s="121">
        <v>38607390</v>
      </c>
      <c r="F1637" s="120">
        <v>0</v>
      </c>
    </row>
    <row r="1638" spans="1:6" ht="24">
      <c r="A1638" s="190">
        <v>540806</v>
      </c>
      <c r="B1638" s="176" t="s">
        <v>2722</v>
      </c>
      <c r="C1638" s="169" t="s">
        <v>1046</v>
      </c>
      <c r="D1638" s="171" t="s">
        <v>1047</v>
      </c>
      <c r="E1638" s="121">
        <v>19557673</v>
      </c>
      <c r="F1638" s="120">
        <v>0</v>
      </c>
    </row>
    <row r="1639" spans="1:6" ht="24">
      <c r="A1639" s="190">
        <v>540806</v>
      </c>
      <c r="B1639" s="176" t="s">
        <v>2722</v>
      </c>
      <c r="C1639" s="169" t="s">
        <v>1048</v>
      </c>
      <c r="D1639" s="182" t="s">
        <v>1049</v>
      </c>
      <c r="E1639" s="121">
        <v>26390133</v>
      </c>
      <c r="F1639" s="120">
        <v>0</v>
      </c>
    </row>
    <row r="1640" spans="1:6" ht="24">
      <c r="A1640" s="190">
        <v>540806</v>
      </c>
      <c r="B1640" s="176" t="s">
        <v>2722</v>
      </c>
      <c r="C1640" s="169" t="s">
        <v>1050</v>
      </c>
      <c r="D1640" s="182" t="s">
        <v>1051</v>
      </c>
      <c r="E1640" s="121">
        <v>33376349</v>
      </c>
      <c r="F1640" s="120">
        <v>0</v>
      </c>
    </row>
    <row r="1641" spans="1:6" ht="24">
      <c r="A1641" s="190">
        <v>540806</v>
      </c>
      <c r="B1641" s="176" t="s">
        <v>2722</v>
      </c>
      <c r="C1641" s="169">
        <v>210123001</v>
      </c>
      <c r="D1641" s="171" t="s">
        <v>1052</v>
      </c>
      <c r="E1641" s="121">
        <v>40219177</v>
      </c>
      <c r="F1641" s="120">
        <v>0</v>
      </c>
    </row>
    <row r="1642" spans="1:6" ht="24">
      <c r="A1642" s="190">
        <v>540806</v>
      </c>
      <c r="B1642" s="176" t="s">
        <v>2722</v>
      </c>
      <c r="C1642" s="170" t="s">
        <v>1053</v>
      </c>
      <c r="D1642" s="182" t="s">
        <v>1054</v>
      </c>
      <c r="E1642" s="121">
        <v>13453121</v>
      </c>
      <c r="F1642" s="120">
        <v>0</v>
      </c>
    </row>
    <row r="1643" spans="1:6" ht="24">
      <c r="A1643" s="190">
        <v>540806</v>
      </c>
      <c r="B1643" s="176" t="s">
        <v>2722</v>
      </c>
      <c r="C1643" s="170" t="s">
        <v>1055</v>
      </c>
      <c r="D1643" s="182" t="s">
        <v>1056</v>
      </c>
      <c r="E1643" s="121">
        <v>11464474</v>
      </c>
      <c r="F1643" s="120">
        <v>0</v>
      </c>
    </row>
    <row r="1644" spans="1:6" ht="24">
      <c r="A1644" s="190">
        <v>540806</v>
      </c>
      <c r="B1644" s="176" t="s">
        <v>2722</v>
      </c>
      <c r="C1644" s="169" t="s">
        <v>1057</v>
      </c>
      <c r="D1644" s="182" t="s">
        <v>1058</v>
      </c>
      <c r="E1644" s="121">
        <v>9418839</v>
      </c>
      <c r="F1644" s="120">
        <v>0</v>
      </c>
    </row>
    <row r="1645" spans="1:6" ht="24">
      <c r="A1645" s="190">
        <v>540806</v>
      </c>
      <c r="B1645" s="176" t="s">
        <v>2722</v>
      </c>
      <c r="C1645" s="169" t="s">
        <v>1059</v>
      </c>
      <c r="D1645" s="182" t="s">
        <v>1060</v>
      </c>
      <c r="E1645" s="121">
        <v>7264993</v>
      </c>
      <c r="F1645" s="120">
        <v>0</v>
      </c>
    </row>
    <row r="1646" spans="1:6" ht="24">
      <c r="A1646" s="190">
        <v>540806</v>
      </c>
      <c r="B1646" s="176" t="s">
        <v>2722</v>
      </c>
      <c r="C1646" s="170" t="s">
        <v>1061</v>
      </c>
      <c r="D1646" s="182" t="s">
        <v>1062</v>
      </c>
      <c r="E1646" s="121">
        <v>29423384</v>
      </c>
      <c r="F1646" s="120">
        <v>0</v>
      </c>
    </row>
    <row r="1647" spans="1:6" ht="24">
      <c r="A1647" s="190">
        <v>540806</v>
      </c>
      <c r="B1647" s="176" t="s">
        <v>2722</v>
      </c>
      <c r="C1647" s="170" t="s">
        <v>1063</v>
      </c>
      <c r="D1647" s="182" t="s">
        <v>1064</v>
      </c>
      <c r="E1647" s="121">
        <v>36608477</v>
      </c>
      <c r="F1647" s="120">
        <v>0</v>
      </c>
    </row>
    <row r="1648" spans="1:6" ht="24">
      <c r="A1648" s="190">
        <v>540806</v>
      </c>
      <c r="B1648" s="176" t="s">
        <v>2722</v>
      </c>
      <c r="C1648" s="170" t="s">
        <v>1065</v>
      </c>
      <c r="D1648" s="182" t="s">
        <v>1066</v>
      </c>
      <c r="E1648" s="121">
        <v>14852114</v>
      </c>
      <c r="F1648" s="120">
        <v>0</v>
      </c>
    </row>
    <row r="1649" spans="1:6" ht="24">
      <c r="A1649" s="190">
        <v>540806</v>
      </c>
      <c r="B1649" s="176" t="s">
        <v>2722</v>
      </c>
      <c r="C1649" s="170" t="s">
        <v>1067</v>
      </c>
      <c r="D1649" s="182" t="s">
        <v>1068</v>
      </c>
      <c r="E1649" s="121">
        <v>13142129</v>
      </c>
      <c r="F1649" s="120">
        <v>0</v>
      </c>
    </row>
    <row r="1650" spans="1:6" ht="24">
      <c r="A1650" s="190">
        <v>540806</v>
      </c>
      <c r="B1650" s="176" t="s">
        <v>2722</v>
      </c>
      <c r="C1650" s="169">
        <v>210150001</v>
      </c>
      <c r="D1650" s="171" t="s">
        <v>1069</v>
      </c>
      <c r="E1650" s="121">
        <v>38719777</v>
      </c>
      <c r="F1650" s="120">
        <v>0</v>
      </c>
    </row>
    <row r="1651" spans="1:6" ht="24">
      <c r="A1651" s="190">
        <v>540806</v>
      </c>
      <c r="B1651" s="176" t="s">
        <v>2722</v>
      </c>
      <c r="C1651" s="169" t="s">
        <v>1070</v>
      </c>
      <c r="D1651" s="182" t="s">
        <v>1071</v>
      </c>
      <c r="E1651" s="121">
        <v>43246164</v>
      </c>
      <c r="F1651" s="120">
        <v>0</v>
      </c>
    </row>
    <row r="1652" spans="1:6" ht="24">
      <c r="A1652" s="190">
        <v>540806</v>
      </c>
      <c r="B1652" s="176" t="s">
        <v>2722</v>
      </c>
      <c r="C1652" s="169">
        <v>213552835</v>
      </c>
      <c r="D1652" s="182" t="s">
        <v>1072</v>
      </c>
      <c r="E1652" s="121">
        <v>22938346</v>
      </c>
      <c r="F1652" s="120">
        <v>0</v>
      </c>
    </row>
    <row r="1653" spans="1:6" ht="24">
      <c r="A1653" s="190">
        <v>540806</v>
      </c>
      <c r="B1653" s="176" t="s">
        <v>2722</v>
      </c>
      <c r="C1653" s="169">
        <v>210154001</v>
      </c>
      <c r="D1653" s="171" t="s">
        <v>1073</v>
      </c>
      <c r="E1653" s="121">
        <v>59218220</v>
      </c>
      <c r="F1653" s="120">
        <v>0</v>
      </c>
    </row>
    <row r="1654" spans="1:6" ht="24">
      <c r="A1654" s="190">
        <v>540806</v>
      </c>
      <c r="B1654" s="176" t="s">
        <v>2722</v>
      </c>
      <c r="C1654" s="169">
        <v>210163001</v>
      </c>
      <c r="D1654" s="171" t="s">
        <v>1074</v>
      </c>
      <c r="E1654" s="121">
        <v>25226692</v>
      </c>
      <c r="F1654" s="120">
        <v>0</v>
      </c>
    </row>
    <row r="1655" spans="1:6" ht="24">
      <c r="A1655" s="190">
        <v>540806</v>
      </c>
      <c r="B1655" s="176" t="s">
        <v>2722</v>
      </c>
      <c r="C1655" s="169">
        <v>210166001</v>
      </c>
      <c r="D1655" s="171" t="s">
        <v>1075</v>
      </c>
      <c r="E1655" s="121">
        <v>39561977</v>
      </c>
      <c r="F1655" s="120">
        <v>0</v>
      </c>
    </row>
    <row r="1656" spans="1:6" ht="24">
      <c r="A1656" s="190">
        <v>540806</v>
      </c>
      <c r="B1656" s="176" t="s">
        <v>2722</v>
      </c>
      <c r="C1656" s="169">
        <v>217066170</v>
      </c>
      <c r="D1656" s="171" t="s">
        <v>1076</v>
      </c>
      <c r="E1656" s="121">
        <v>14487908</v>
      </c>
      <c r="F1656" s="120">
        <v>0</v>
      </c>
    </row>
    <row r="1657" spans="1:6" ht="24">
      <c r="A1657" s="190">
        <v>540806</v>
      </c>
      <c r="B1657" s="176" t="s">
        <v>2722</v>
      </c>
      <c r="C1657" s="170" t="s">
        <v>1077</v>
      </c>
      <c r="D1657" s="171" t="s">
        <v>1078</v>
      </c>
      <c r="E1657" s="121">
        <v>48904990</v>
      </c>
      <c r="F1657" s="120">
        <v>0</v>
      </c>
    </row>
    <row r="1658" spans="1:6" ht="24">
      <c r="A1658" s="190">
        <v>540806</v>
      </c>
      <c r="B1658" s="176" t="s">
        <v>2722</v>
      </c>
      <c r="C1658" s="170" t="s">
        <v>1079</v>
      </c>
      <c r="D1658" s="182" t="s">
        <v>1080</v>
      </c>
      <c r="E1658" s="121">
        <v>18345899</v>
      </c>
      <c r="F1658" s="120">
        <v>0</v>
      </c>
    </row>
    <row r="1659" spans="1:6" ht="24">
      <c r="A1659" s="190">
        <v>540806</v>
      </c>
      <c r="B1659" s="176" t="s">
        <v>2722</v>
      </c>
      <c r="C1659" s="170" t="s">
        <v>1081</v>
      </c>
      <c r="D1659" s="182" t="s">
        <v>1082</v>
      </c>
      <c r="E1659" s="121">
        <v>19235281</v>
      </c>
      <c r="F1659" s="120">
        <v>0</v>
      </c>
    </row>
    <row r="1660" spans="1:6" ht="24">
      <c r="A1660" s="190">
        <v>540806</v>
      </c>
      <c r="B1660" s="176" t="s">
        <v>2722</v>
      </c>
      <c r="C1660" s="170" t="s">
        <v>1083</v>
      </c>
      <c r="D1660" s="182" t="s">
        <v>1084</v>
      </c>
      <c r="E1660" s="121">
        <v>10731514</v>
      </c>
      <c r="F1660" s="120">
        <v>0</v>
      </c>
    </row>
    <row r="1661" spans="1:6" ht="24">
      <c r="A1661" s="190">
        <v>540806</v>
      </c>
      <c r="B1661" s="176" t="s">
        <v>2722</v>
      </c>
      <c r="C1661" s="169">
        <v>210170001</v>
      </c>
      <c r="D1661" s="171" t="s">
        <v>1085</v>
      </c>
      <c r="E1661" s="121">
        <v>25585842</v>
      </c>
      <c r="F1661" s="120">
        <v>0</v>
      </c>
    </row>
    <row r="1662" spans="1:6" ht="24">
      <c r="A1662" s="190">
        <v>540806</v>
      </c>
      <c r="B1662" s="176" t="s">
        <v>2722</v>
      </c>
      <c r="C1662" s="169">
        <v>210173001</v>
      </c>
      <c r="D1662" s="171" t="s">
        <v>1086</v>
      </c>
      <c r="E1662" s="121">
        <v>41242387</v>
      </c>
      <c r="F1662" s="120">
        <v>0</v>
      </c>
    </row>
    <row r="1663" spans="1:6" ht="24">
      <c r="A1663" s="190">
        <v>540806</v>
      </c>
      <c r="B1663" s="176" t="s">
        <v>2722</v>
      </c>
      <c r="C1663" s="169">
        <v>210176001</v>
      </c>
      <c r="D1663" s="171" t="s">
        <v>1087</v>
      </c>
      <c r="E1663" s="121">
        <v>114871917</v>
      </c>
      <c r="F1663" s="120">
        <v>0</v>
      </c>
    </row>
    <row r="1664" spans="1:6" ht="24">
      <c r="A1664" s="190">
        <v>540806</v>
      </c>
      <c r="B1664" s="176" t="s">
        <v>2722</v>
      </c>
      <c r="C1664" s="169">
        <v>210976109</v>
      </c>
      <c r="D1664" s="182" t="s">
        <v>1088</v>
      </c>
      <c r="E1664" s="121">
        <v>39735203</v>
      </c>
      <c r="F1664" s="120">
        <v>0</v>
      </c>
    </row>
    <row r="1665" spans="1:6" ht="24">
      <c r="A1665" s="190">
        <v>540806</v>
      </c>
      <c r="B1665" s="176" t="s">
        <v>2722</v>
      </c>
      <c r="C1665" s="169">
        <v>211176111</v>
      </c>
      <c r="D1665" s="182" t="s">
        <v>1089</v>
      </c>
      <c r="E1665" s="121">
        <v>9557146</v>
      </c>
      <c r="F1665" s="120">
        <v>0</v>
      </c>
    </row>
    <row r="1666" spans="1:6" ht="24">
      <c r="A1666" s="190">
        <v>540806</v>
      </c>
      <c r="B1666" s="176" t="s">
        <v>2722</v>
      </c>
      <c r="C1666" s="169">
        <v>214776147</v>
      </c>
      <c r="D1666" s="182" t="s">
        <v>1090</v>
      </c>
      <c r="E1666" s="121">
        <v>10673354</v>
      </c>
      <c r="F1666" s="120">
        <v>0</v>
      </c>
    </row>
    <row r="1667" spans="1:6" ht="24">
      <c r="A1667" s="190">
        <v>540806</v>
      </c>
      <c r="B1667" s="176" t="s">
        <v>2722</v>
      </c>
      <c r="C1667" s="169">
        <v>212076520</v>
      </c>
      <c r="D1667" s="182" t="s">
        <v>1091</v>
      </c>
      <c r="E1667" s="121">
        <v>21850209</v>
      </c>
      <c r="F1667" s="120">
        <v>0</v>
      </c>
    </row>
    <row r="1668" spans="1:6" ht="24">
      <c r="A1668" s="190">
        <v>540806</v>
      </c>
      <c r="B1668" s="176" t="s">
        <v>2722</v>
      </c>
      <c r="C1668" s="169">
        <v>213476834</v>
      </c>
      <c r="D1668" s="182" t="s">
        <v>1092</v>
      </c>
      <c r="E1668" s="121">
        <v>14674928</v>
      </c>
      <c r="F1668" s="120">
        <v>0</v>
      </c>
    </row>
    <row r="1669" spans="1:6" ht="24">
      <c r="A1669" s="190">
        <v>540806</v>
      </c>
      <c r="B1669" s="176" t="s">
        <v>2722</v>
      </c>
      <c r="C1669" s="169" t="s">
        <v>650</v>
      </c>
      <c r="D1669" s="178" t="s">
        <v>1093</v>
      </c>
      <c r="E1669" s="121">
        <v>109150</v>
      </c>
      <c r="F1669" s="120">
        <v>0</v>
      </c>
    </row>
    <row r="1670" spans="1:6" ht="24">
      <c r="A1670" s="190">
        <v>540806</v>
      </c>
      <c r="B1670" s="176" t="s">
        <v>2722</v>
      </c>
      <c r="C1670" s="169" t="s">
        <v>1094</v>
      </c>
      <c r="D1670" s="178" t="s">
        <v>1095</v>
      </c>
      <c r="E1670" s="121">
        <v>15320</v>
      </c>
      <c r="F1670" s="120">
        <v>0</v>
      </c>
    </row>
    <row r="1671" spans="1:6" ht="24">
      <c r="A1671" s="190">
        <v>540806</v>
      </c>
      <c r="B1671" s="176" t="s">
        <v>2722</v>
      </c>
      <c r="C1671" s="169" t="s">
        <v>1096</v>
      </c>
      <c r="D1671" s="178" t="s">
        <v>1097</v>
      </c>
      <c r="E1671" s="121">
        <v>26052</v>
      </c>
      <c r="F1671" s="120">
        <v>0</v>
      </c>
    </row>
    <row r="1672" spans="1:6" ht="24">
      <c r="A1672" s="190">
        <v>540806</v>
      </c>
      <c r="B1672" s="176" t="s">
        <v>2722</v>
      </c>
      <c r="C1672" s="169" t="s">
        <v>1098</v>
      </c>
      <c r="D1672" s="178" t="s">
        <v>1099</v>
      </c>
      <c r="E1672" s="121">
        <v>179323</v>
      </c>
      <c r="F1672" s="120">
        <v>0</v>
      </c>
    </row>
    <row r="1673" spans="1:6" ht="24">
      <c r="A1673" s="190">
        <v>540806</v>
      </c>
      <c r="B1673" s="176" t="s">
        <v>2722</v>
      </c>
      <c r="C1673" s="169" t="s">
        <v>743</v>
      </c>
      <c r="D1673" s="178" t="s">
        <v>1100</v>
      </c>
      <c r="E1673" s="121">
        <v>146458</v>
      </c>
      <c r="F1673" s="120">
        <v>0</v>
      </c>
    </row>
    <row r="1674" spans="1:6" ht="24">
      <c r="A1674" s="190">
        <v>540806</v>
      </c>
      <c r="B1674" s="176" t="s">
        <v>2722</v>
      </c>
      <c r="C1674" s="169" t="s">
        <v>1101</v>
      </c>
      <c r="D1674" s="178" t="s">
        <v>1102</v>
      </c>
      <c r="E1674" s="121">
        <v>267038</v>
      </c>
      <c r="F1674" s="120">
        <v>0</v>
      </c>
    </row>
    <row r="1675" spans="1:6" ht="24">
      <c r="A1675" s="190">
        <v>540806</v>
      </c>
      <c r="B1675" s="176" t="s">
        <v>2722</v>
      </c>
      <c r="C1675" s="169" t="s">
        <v>759</v>
      </c>
      <c r="D1675" s="178" t="s">
        <v>1103</v>
      </c>
      <c r="E1675" s="121">
        <v>38724</v>
      </c>
      <c r="F1675" s="120">
        <v>0</v>
      </c>
    </row>
    <row r="1676" spans="1:6" ht="24">
      <c r="A1676" s="190">
        <v>540806</v>
      </c>
      <c r="B1676" s="176" t="s">
        <v>2722</v>
      </c>
      <c r="C1676" s="169" t="s">
        <v>1104</v>
      </c>
      <c r="D1676" s="178" t="s">
        <v>1105</v>
      </c>
      <c r="E1676" s="121">
        <v>78966</v>
      </c>
      <c r="F1676" s="120">
        <v>0</v>
      </c>
    </row>
    <row r="1677" spans="1:6" ht="24">
      <c r="A1677" s="190">
        <v>540806</v>
      </c>
      <c r="B1677" s="176" t="s">
        <v>2722</v>
      </c>
      <c r="C1677" s="169" t="s">
        <v>767</v>
      </c>
      <c r="D1677" s="178" t="s">
        <v>1106</v>
      </c>
      <c r="E1677" s="121">
        <v>99802</v>
      </c>
      <c r="F1677" s="120">
        <v>0</v>
      </c>
    </row>
    <row r="1678" spans="1:6" ht="24">
      <c r="A1678" s="190">
        <v>540806</v>
      </c>
      <c r="B1678" s="176" t="s">
        <v>2722</v>
      </c>
      <c r="C1678" s="169" t="s">
        <v>1107</v>
      </c>
      <c r="D1678" s="178" t="s">
        <v>992</v>
      </c>
      <c r="E1678" s="121">
        <v>157904</v>
      </c>
      <c r="F1678" s="120">
        <v>0</v>
      </c>
    </row>
    <row r="1679" spans="1:6" ht="24">
      <c r="A1679" s="190">
        <v>540806</v>
      </c>
      <c r="B1679" s="176" t="s">
        <v>2722</v>
      </c>
      <c r="C1679" s="169" t="s">
        <v>1108</v>
      </c>
      <c r="D1679" s="178" t="s">
        <v>1109</v>
      </c>
      <c r="E1679" s="121">
        <v>49544</v>
      </c>
      <c r="F1679" s="120">
        <v>0</v>
      </c>
    </row>
    <row r="1680" spans="1:6" ht="24">
      <c r="A1680" s="190">
        <v>540806</v>
      </c>
      <c r="B1680" s="176" t="s">
        <v>2722</v>
      </c>
      <c r="C1680" s="169" t="s">
        <v>1110</v>
      </c>
      <c r="D1680" s="178" t="s">
        <v>1111</v>
      </c>
      <c r="E1680" s="121">
        <v>613048</v>
      </c>
      <c r="F1680" s="120">
        <v>0</v>
      </c>
    </row>
    <row r="1681" spans="1:6" ht="24">
      <c r="A1681" s="190">
        <v>540806</v>
      </c>
      <c r="B1681" s="176" t="s">
        <v>2722</v>
      </c>
      <c r="C1681" s="169">
        <v>215105051</v>
      </c>
      <c r="D1681" s="178" t="s">
        <v>1112</v>
      </c>
      <c r="E1681" s="121">
        <v>322642</v>
      </c>
      <c r="F1681" s="120">
        <v>0</v>
      </c>
    </row>
    <row r="1682" spans="1:6" ht="24">
      <c r="A1682" s="190">
        <v>540806</v>
      </c>
      <c r="B1682" s="176" t="s">
        <v>2722</v>
      </c>
      <c r="C1682" s="169" t="s">
        <v>1113</v>
      </c>
      <c r="D1682" s="178" t="s">
        <v>1114</v>
      </c>
      <c r="E1682" s="121">
        <v>77010</v>
      </c>
      <c r="F1682" s="120">
        <v>0</v>
      </c>
    </row>
    <row r="1683" spans="1:6" ht="24">
      <c r="A1683" s="190">
        <v>540806</v>
      </c>
      <c r="B1683" s="176" t="s">
        <v>2722</v>
      </c>
      <c r="C1683" s="169" t="s">
        <v>1115</v>
      </c>
      <c r="D1683" s="178" t="s">
        <v>1074</v>
      </c>
      <c r="E1683" s="121">
        <v>38119</v>
      </c>
      <c r="F1683" s="120">
        <v>0</v>
      </c>
    </row>
    <row r="1684" spans="1:6" ht="24">
      <c r="A1684" s="190">
        <v>540806</v>
      </c>
      <c r="B1684" s="176" t="s">
        <v>2722</v>
      </c>
      <c r="C1684" s="169" t="s">
        <v>1116</v>
      </c>
      <c r="D1684" s="178" t="s">
        <v>1117</v>
      </c>
      <c r="E1684" s="121">
        <v>262887</v>
      </c>
      <c r="F1684" s="120">
        <v>0</v>
      </c>
    </row>
    <row r="1685" spans="1:6" ht="24">
      <c r="A1685" s="190">
        <v>540806</v>
      </c>
      <c r="B1685" s="176" t="s">
        <v>2722</v>
      </c>
      <c r="C1685" s="169" t="s">
        <v>1118</v>
      </c>
      <c r="D1685" s="178" t="s">
        <v>1119</v>
      </c>
      <c r="E1685" s="121">
        <v>44143</v>
      </c>
      <c r="F1685" s="120">
        <v>0</v>
      </c>
    </row>
    <row r="1686" spans="1:6" ht="24">
      <c r="A1686" s="190">
        <v>540806</v>
      </c>
      <c r="B1686" s="176" t="s">
        <v>2722</v>
      </c>
      <c r="C1686" s="169" t="s">
        <v>1120</v>
      </c>
      <c r="D1686" s="178" t="s">
        <v>1121</v>
      </c>
      <c r="E1686" s="121">
        <v>59918</v>
      </c>
      <c r="F1686" s="120">
        <v>0</v>
      </c>
    </row>
    <row r="1687" spans="1:6" ht="24">
      <c r="A1687" s="190">
        <v>540806</v>
      </c>
      <c r="B1687" s="176" t="s">
        <v>2722</v>
      </c>
      <c r="C1687" s="169" t="s">
        <v>1122</v>
      </c>
      <c r="D1687" s="178" t="s">
        <v>1123</v>
      </c>
      <c r="E1687" s="121">
        <v>104540</v>
      </c>
      <c r="F1687" s="120">
        <v>0</v>
      </c>
    </row>
    <row r="1688" spans="1:6" ht="24">
      <c r="A1688" s="190">
        <v>540806</v>
      </c>
      <c r="B1688" s="176" t="s">
        <v>2722</v>
      </c>
      <c r="C1688" s="169" t="s">
        <v>1124</v>
      </c>
      <c r="D1688" s="178" t="s">
        <v>994</v>
      </c>
      <c r="E1688" s="121">
        <v>167249</v>
      </c>
      <c r="F1688" s="120">
        <v>0</v>
      </c>
    </row>
    <row r="1689" spans="1:6" ht="24">
      <c r="A1689" s="190">
        <v>540806</v>
      </c>
      <c r="B1689" s="176" t="s">
        <v>2722</v>
      </c>
      <c r="C1689" s="169" t="s">
        <v>1125</v>
      </c>
      <c r="D1689" s="178" t="s">
        <v>1126</v>
      </c>
      <c r="E1689" s="121">
        <v>63276</v>
      </c>
      <c r="F1689" s="120">
        <v>0</v>
      </c>
    </row>
    <row r="1690" spans="1:6" ht="24">
      <c r="A1690" s="190">
        <v>540806</v>
      </c>
      <c r="B1690" s="176" t="s">
        <v>2722</v>
      </c>
      <c r="C1690" s="169" t="s">
        <v>1127</v>
      </c>
      <c r="D1690" s="178" t="s">
        <v>1128</v>
      </c>
      <c r="E1690" s="121">
        <v>48915</v>
      </c>
      <c r="F1690" s="120">
        <v>0</v>
      </c>
    </row>
    <row r="1691" spans="1:6" ht="24">
      <c r="A1691" s="190">
        <v>540806</v>
      </c>
      <c r="B1691" s="176" t="s">
        <v>2722</v>
      </c>
      <c r="C1691" s="169" t="s">
        <v>1129</v>
      </c>
      <c r="D1691" s="178" t="s">
        <v>1130</v>
      </c>
      <c r="E1691" s="121">
        <v>228245</v>
      </c>
      <c r="F1691" s="120">
        <v>0</v>
      </c>
    </row>
    <row r="1692" spans="1:6" ht="24">
      <c r="A1692" s="190">
        <v>540806</v>
      </c>
      <c r="B1692" s="176" t="s">
        <v>2722</v>
      </c>
      <c r="C1692" s="169" t="s">
        <v>1131</v>
      </c>
      <c r="D1692" s="178" t="s">
        <v>1132</v>
      </c>
      <c r="E1692" s="121">
        <v>61666</v>
      </c>
      <c r="F1692" s="120">
        <v>0</v>
      </c>
    </row>
    <row r="1693" spans="1:6" ht="24">
      <c r="A1693" s="190">
        <v>540806</v>
      </c>
      <c r="B1693" s="176" t="s">
        <v>2722</v>
      </c>
      <c r="C1693" s="169" t="s">
        <v>1133</v>
      </c>
      <c r="D1693" s="178" t="s">
        <v>996</v>
      </c>
      <c r="E1693" s="121">
        <v>337645</v>
      </c>
      <c r="F1693" s="120">
        <v>0</v>
      </c>
    </row>
    <row r="1694" spans="1:6" ht="24">
      <c r="A1694" s="190">
        <v>540806</v>
      </c>
      <c r="B1694" s="176" t="s">
        <v>2722</v>
      </c>
      <c r="C1694" s="169" t="s">
        <v>1134</v>
      </c>
      <c r="D1694" s="178" t="s">
        <v>1135</v>
      </c>
      <c r="E1694" s="121">
        <v>61602</v>
      </c>
      <c r="F1694" s="120">
        <v>0</v>
      </c>
    </row>
    <row r="1695" spans="1:6" ht="24">
      <c r="A1695" s="190">
        <v>540806</v>
      </c>
      <c r="B1695" s="176" t="s">
        <v>2722</v>
      </c>
      <c r="C1695" s="169" t="s">
        <v>1136</v>
      </c>
      <c r="D1695" s="178" t="s">
        <v>1137</v>
      </c>
      <c r="E1695" s="121">
        <v>136046</v>
      </c>
      <c r="F1695" s="120">
        <v>0</v>
      </c>
    </row>
    <row r="1696" spans="1:6" ht="24">
      <c r="A1696" s="190">
        <v>540806</v>
      </c>
      <c r="B1696" s="176" t="s">
        <v>2722</v>
      </c>
      <c r="C1696" s="169" t="s">
        <v>1138</v>
      </c>
      <c r="D1696" s="178" t="s">
        <v>1139</v>
      </c>
      <c r="E1696" s="121">
        <v>36515</v>
      </c>
      <c r="F1696" s="120">
        <v>0</v>
      </c>
    </row>
    <row r="1697" spans="1:6" ht="24">
      <c r="A1697" s="190">
        <v>540806</v>
      </c>
      <c r="B1697" s="176" t="s">
        <v>2722</v>
      </c>
      <c r="C1697" s="169" t="s">
        <v>1140</v>
      </c>
      <c r="D1697" s="178" t="s">
        <v>1141</v>
      </c>
      <c r="E1697" s="121">
        <v>37089</v>
      </c>
      <c r="F1697" s="120">
        <v>0</v>
      </c>
    </row>
    <row r="1698" spans="1:6" ht="24">
      <c r="A1698" s="190">
        <v>540806</v>
      </c>
      <c r="B1698" s="176" t="s">
        <v>2722</v>
      </c>
      <c r="C1698" s="169" t="s">
        <v>1142</v>
      </c>
      <c r="D1698" s="178" t="s">
        <v>1143</v>
      </c>
      <c r="E1698" s="121">
        <v>299605</v>
      </c>
      <c r="F1698" s="120">
        <v>0</v>
      </c>
    </row>
    <row r="1699" spans="1:6" ht="24">
      <c r="A1699" s="190">
        <v>540806</v>
      </c>
      <c r="B1699" s="176" t="s">
        <v>2722</v>
      </c>
      <c r="C1699" s="169" t="s">
        <v>1144</v>
      </c>
      <c r="D1699" s="178" t="s">
        <v>1145</v>
      </c>
      <c r="E1699" s="121">
        <v>265735</v>
      </c>
      <c r="F1699" s="120">
        <v>0</v>
      </c>
    </row>
    <row r="1700" spans="1:6" ht="24">
      <c r="A1700" s="190">
        <v>540806</v>
      </c>
      <c r="B1700" s="176" t="s">
        <v>2722</v>
      </c>
      <c r="C1700" s="169">
        <v>215005150</v>
      </c>
      <c r="D1700" s="178" t="s">
        <v>1146</v>
      </c>
      <c r="E1700" s="121">
        <v>34817</v>
      </c>
      <c r="F1700" s="120">
        <v>0</v>
      </c>
    </row>
    <row r="1701" spans="1:6" ht="24">
      <c r="A1701" s="190">
        <v>540806</v>
      </c>
      <c r="B1701" s="176" t="s">
        <v>2722</v>
      </c>
      <c r="C1701" s="169" t="s">
        <v>816</v>
      </c>
      <c r="D1701" s="178" t="s">
        <v>1147</v>
      </c>
      <c r="E1701" s="121">
        <v>572833</v>
      </c>
      <c r="F1701" s="120">
        <v>0</v>
      </c>
    </row>
    <row r="1702" spans="1:6" ht="24">
      <c r="A1702" s="190">
        <v>540806</v>
      </c>
      <c r="B1702" s="176" t="s">
        <v>2722</v>
      </c>
      <c r="C1702" s="169" t="s">
        <v>1148</v>
      </c>
      <c r="D1702" s="178" t="s">
        <v>1149</v>
      </c>
      <c r="E1702" s="121">
        <v>374909</v>
      </c>
      <c r="F1702" s="120">
        <v>0</v>
      </c>
    </row>
    <row r="1703" spans="1:6" ht="24">
      <c r="A1703" s="190">
        <v>540806</v>
      </c>
      <c r="B1703" s="176" t="s">
        <v>2722</v>
      </c>
      <c r="C1703" s="169" t="s">
        <v>1150</v>
      </c>
      <c r="D1703" s="178" t="s">
        <v>1151</v>
      </c>
      <c r="E1703" s="121">
        <v>71664</v>
      </c>
      <c r="F1703" s="120">
        <v>0</v>
      </c>
    </row>
    <row r="1704" spans="1:6" ht="24">
      <c r="A1704" s="190">
        <v>540806</v>
      </c>
      <c r="B1704" s="176" t="s">
        <v>2722</v>
      </c>
      <c r="C1704" s="169" t="s">
        <v>1152</v>
      </c>
      <c r="D1704" s="178" t="s">
        <v>1153</v>
      </c>
      <c r="E1704" s="121">
        <v>99852</v>
      </c>
      <c r="F1704" s="120">
        <v>0</v>
      </c>
    </row>
    <row r="1705" spans="1:6" ht="24">
      <c r="A1705" s="190">
        <v>540806</v>
      </c>
      <c r="B1705" s="176" t="s">
        <v>2722</v>
      </c>
      <c r="C1705" s="169" t="s">
        <v>1154</v>
      </c>
      <c r="D1705" s="178" t="s">
        <v>1155</v>
      </c>
      <c r="E1705" s="121">
        <v>24919</v>
      </c>
      <c r="F1705" s="120">
        <v>0</v>
      </c>
    </row>
    <row r="1706" spans="1:6" ht="24">
      <c r="A1706" s="190">
        <v>540806</v>
      </c>
      <c r="B1706" s="176" t="s">
        <v>2722</v>
      </c>
      <c r="C1706" s="169" t="s">
        <v>1156</v>
      </c>
      <c r="D1706" s="178" t="s">
        <v>1157</v>
      </c>
      <c r="E1706" s="121">
        <v>116874</v>
      </c>
      <c r="F1706" s="120">
        <v>0</v>
      </c>
    </row>
    <row r="1707" spans="1:6" ht="24">
      <c r="A1707" s="190">
        <v>540806</v>
      </c>
      <c r="B1707" s="176" t="s">
        <v>2722</v>
      </c>
      <c r="C1707" s="169" t="s">
        <v>1158</v>
      </c>
      <c r="D1707" s="178" t="s">
        <v>1159</v>
      </c>
      <c r="E1707" s="121">
        <v>395079</v>
      </c>
      <c r="F1707" s="120">
        <v>0</v>
      </c>
    </row>
    <row r="1708" spans="1:6" ht="24">
      <c r="A1708" s="190">
        <v>540806</v>
      </c>
      <c r="B1708" s="176" t="s">
        <v>2722</v>
      </c>
      <c r="C1708" s="169" t="s">
        <v>1160</v>
      </c>
      <c r="D1708" s="178" t="s">
        <v>1161</v>
      </c>
      <c r="E1708" s="121">
        <v>187812</v>
      </c>
      <c r="F1708" s="120">
        <v>0</v>
      </c>
    </row>
    <row r="1709" spans="1:6" ht="24">
      <c r="A1709" s="190">
        <v>540806</v>
      </c>
      <c r="B1709" s="176" t="s">
        <v>2722</v>
      </c>
      <c r="C1709" s="169" t="s">
        <v>1162</v>
      </c>
      <c r="D1709" s="178" t="s">
        <v>1163</v>
      </c>
      <c r="E1709" s="121">
        <v>110200</v>
      </c>
      <c r="F1709" s="120">
        <v>0</v>
      </c>
    </row>
    <row r="1710" spans="1:6" ht="24">
      <c r="A1710" s="190">
        <v>540806</v>
      </c>
      <c r="B1710" s="176" t="s">
        <v>2722</v>
      </c>
      <c r="C1710" s="169">
        <v>214005240</v>
      </c>
      <c r="D1710" s="178" t="s">
        <v>1164</v>
      </c>
      <c r="E1710" s="121">
        <v>87534</v>
      </c>
      <c r="F1710" s="120">
        <v>0</v>
      </c>
    </row>
    <row r="1711" spans="1:6" ht="24">
      <c r="A1711" s="190">
        <v>540806</v>
      </c>
      <c r="B1711" s="176" t="s">
        <v>2722</v>
      </c>
      <c r="C1711" s="169" t="s">
        <v>1165</v>
      </c>
      <c r="D1711" s="178" t="s">
        <v>1166</v>
      </c>
      <c r="E1711" s="121">
        <v>340915</v>
      </c>
      <c r="F1711" s="120">
        <v>0</v>
      </c>
    </row>
    <row r="1712" spans="1:6" ht="24">
      <c r="A1712" s="190">
        <v>540806</v>
      </c>
      <c r="B1712" s="176" t="s">
        <v>2722</v>
      </c>
      <c r="C1712" s="169" t="s">
        <v>1167</v>
      </c>
      <c r="D1712" s="178" t="s">
        <v>1168</v>
      </c>
      <c r="E1712" s="121">
        <v>55191</v>
      </c>
      <c r="F1712" s="120">
        <v>0</v>
      </c>
    </row>
    <row r="1713" spans="1:6" ht="24">
      <c r="A1713" s="190">
        <v>540806</v>
      </c>
      <c r="B1713" s="176" t="s">
        <v>2722</v>
      </c>
      <c r="C1713" s="169" t="s">
        <v>1169</v>
      </c>
      <c r="D1713" s="178" t="s">
        <v>1170</v>
      </c>
      <c r="E1713" s="121">
        <v>158039</v>
      </c>
      <c r="F1713" s="120">
        <v>0</v>
      </c>
    </row>
    <row r="1714" spans="1:6" ht="24">
      <c r="A1714" s="190">
        <v>540806</v>
      </c>
      <c r="B1714" s="176" t="s">
        <v>2722</v>
      </c>
      <c r="C1714" s="169" t="s">
        <v>1171</v>
      </c>
      <c r="D1714" s="178" t="s">
        <v>1172</v>
      </c>
      <c r="E1714" s="121">
        <v>157511</v>
      </c>
      <c r="F1714" s="120">
        <v>0</v>
      </c>
    </row>
    <row r="1715" spans="1:6" ht="24">
      <c r="A1715" s="190">
        <v>540806</v>
      </c>
      <c r="B1715" s="176" t="s">
        <v>2722</v>
      </c>
      <c r="C1715" s="169" t="s">
        <v>1173</v>
      </c>
      <c r="D1715" s="178" t="s">
        <v>1174</v>
      </c>
      <c r="E1715" s="121">
        <v>29825</v>
      </c>
      <c r="F1715" s="120">
        <v>0</v>
      </c>
    </row>
    <row r="1716" spans="1:6" ht="24">
      <c r="A1716" s="190">
        <v>540806</v>
      </c>
      <c r="B1716" s="176" t="s">
        <v>2722</v>
      </c>
      <c r="C1716" s="169" t="s">
        <v>1175</v>
      </c>
      <c r="D1716" s="178" t="s">
        <v>1176</v>
      </c>
      <c r="E1716" s="121">
        <v>212769</v>
      </c>
      <c r="F1716" s="120">
        <v>0</v>
      </c>
    </row>
    <row r="1717" spans="1:6" ht="24">
      <c r="A1717" s="190">
        <v>540806</v>
      </c>
      <c r="B1717" s="176" t="s">
        <v>2722</v>
      </c>
      <c r="C1717" s="169">
        <v>211005310</v>
      </c>
      <c r="D1717" s="178" t="s">
        <v>1177</v>
      </c>
      <c r="E1717" s="121">
        <v>71030</v>
      </c>
      <c r="F1717" s="120">
        <v>0</v>
      </c>
    </row>
    <row r="1718" spans="1:6" ht="24">
      <c r="A1718" s="190">
        <v>540806</v>
      </c>
      <c r="B1718" s="176" t="s">
        <v>2722</v>
      </c>
      <c r="C1718" s="169" t="s">
        <v>1178</v>
      </c>
      <c r="D1718" s="178" t="s">
        <v>1179</v>
      </c>
      <c r="E1718" s="121">
        <v>67519</v>
      </c>
      <c r="F1718" s="120">
        <v>0</v>
      </c>
    </row>
    <row r="1719" spans="1:6" ht="24">
      <c r="A1719" s="190">
        <v>540806</v>
      </c>
      <c r="B1719" s="176" t="s">
        <v>2722</v>
      </c>
      <c r="C1719" s="169" t="s">
        <v>1180</v>
      </c>
      <c r="D1719" s="178" t="s">
        <v>1181</v>
      </c>
      <c r="E1719" s="121">
        <v>38204</v>
      </c>
      <c r="F1719" s="120">
        <v>0</v>
      </c>
    </row>
    <row r="1720" spans="1:6" ht="24">
      <c r="A1720" s="190">
        <v>540806</v>
      </c>
      <c r="B1720" s="176" t="s">
        <v>2722</v>
      </c>
      <c r="C1720" s="169" t="s">
        <v>1182</v>
      </c>
      <c r="D1720" s="178" t="s">
        <v>1183</v>
      </c>
      <c r="E1720" s="121">
        <v>200611</v>
      </c>
      <c r="F1720" s="120">
        <v>0</v>
      </c>
    </row>
    <row r="1721" spans="1:6" ht="24">
      <c r="A1721" s="190">
        <v>540806</v>
      </c>
      <c r="B1721" s="176" t="s">
        <v>2722</v>
      </c>
      <c r="C1721" s="169" t="s">
        <v>1184</v>
      </c>
      <c r="D1721" s="178" t="s">
        <v>1185</v>
      </c>
      <c r="E1721" s="121">
        <v>41628</v>
      </c>
      <c r="F1721" s="120">
        <v>0</v>
      </c>
    </row>
    <row r="1722" spans="1:6" ht="24">
      <c r="A1722" s="190">
        <v>540806</v>
      </c>
      <c r="B1722" s="176" t="s">
        <v>2722</v>
      </c>
      <c r="C1722" s="169" t="s">
        <v>1186</v>
      </c>
      <c r="D1722" s="178" t="s">
        <v>1187</v>
      </c>
      <c r="E1722" s="121">
        <v>23980</v>
      </c>
      <c r="F1722" s="120">
        <v>0</v>
      </c>
    </row>
    <row r="1723" spans="1:6" ht="24">
      <c r="A1723" s="190">
        <v>540806</v>
      </c>
      <c r="B1723" s="176" t="s">
        <v>2722</v>
      </c>
      <c r="C1723" s="169" t="s">
        <v>1188</v>
      </c>
      <c r="D1723" s="178" t="s">
        <v>1189</v>
      </c>
      <c r="E1723" s="121">
        <v>36787</v>
      </c>
      <c r="F1723" s="120">
        <v>0</v>
      </c>
    </row>
    <row r="1724" spans="1:6" ht="24">
      <c r="A1724" s="190">
        <v>540806</v>
      </c>
      <c r="B1724" s="176" t="s">
        <v>2722</v>
      </c>
      <c r="C1724" s="169" t="s">
        <v>1190</v>
      </c>
      <c r="D1724" s="178" t="s">
        <v>1191</v>
      </c>
      <c r="E1724" s="121">
        <v>213934</v>
      </c>
      <c r="F1724" s="120">
        <v>0</v>
      </c>
    </row>
    <row r="1725" spans="1:6" ht="24">
      <c r="A1725" s="190">
        <v>540806</v>
      </c>
      <c r="B1725" s="176" t="s">
        <v>2722</v>
      </c>
      <c r="C1725" s="169" t="s">
        <v>1192</v>
      </c>
      <c r="D1725" s="178" t="s">
        <v>1193</v>
      </c>
      <c r="E1725" s="121">
        <v>87347</v>
      </c>
      <c r="F1725" s="120">
        <v>0</v>
      </c>
    </row>
    <row r="1726" spans="1:6" ht="24">
      <c r="A1726" s="190">
        <v>540806</v>
      </c>
      <c r="B1726" s="176" t="s">
        <v>2722</v>
      </c>
      <c r="C1726" s="169" t="s">
        <v>1194</v>
      </c>
      <c r="D1726" s="178" t="s">
        <v>1195</v>
      </c>
      <c r="E1726" s="121">
        <v>101090</v>
      </c>
      <c r="F1726" s="120">
        <v>0</v>
      </c>
    </row>
    <row r="1727" spans="1:6" ht="24">
      <c r="A1727" s="190">
        <v>540806</v>
      </c>
      <c r="B1727" s="176" t="s">
        <v>2722</v>
      </c>
      <c r="C1727" s="169">
        <v>217605376</v>
      </c>
      <c r="D1727" s="178" t="s">
        <v>1196</v>
      </c>
      <c r="E1727" s="121">
        <v>276312</v>
      </c>
      <c r="F1727" s="120">
        <v>0</v>
      </c>
    </row>
    <row r="1728" spans="1:6" ht="24">
      <c r="A1728" s="190">
        <v>540806</v>
      </c>
      <c r="B1728" s="176" t="s">
        <v>2722</v>
      </c>
      <c r="C1728" s="169" t="s">
        <v>1197</v>
      </c>
      <c r="D1728" s="178" t="s">
        <v>1198</v>
      </c>
      <c r="E1728" s="121">
        <v>222090</v>
      </c>
      <c r="F1728" s="120">
        <v>0</v>
      </c>
    </row>
    <row r="1729" spans="1:6" ht="24">
      <c r="A1729" s="190">
        <v>540806</v>
      </c>
      <c r="B1729" s="176" t="s">
        <v>2722</v>
      </c>
      <c r="C1729" s="169" t="s">
        <v>1199</v>
      </c>
      <c r="D1729" s="178" t="s">
        <v>1200</v>
      </c>
      <c r="E1729" s="121">
        <v>59374</v>
      </c>
      <c r="F1729" s="120">
        <v>0</v>
      </c>
    </row>
    <row r="1730" spans="1:6" ht="24">
      <c r="A1730" s="190">
        <v>540806</v>
      </c>
      <c r="B1730" s="176" t="s">
        <v>2722</v>
      </c>
      <c r="C1730" s="169" t="s">
        <v>1201</v>
      </c>
      <c r="D1730" s="178" t="s">
        <v>1202</v>
      </c>
      <c r="E1730" s="121">
        <v>111897</v>
      </c>
      <c r="F1730" s="120">
        <v>0</v>
      </c>
    </row>
    <row r="1731" spans="1:6" ht="24">
      <c r="A1731" s="190">
        <v>540806</v>
      </c>
      <c r="B1731" s="176" t="s">
        <v>2722</v>
      </c>
      <c r="C1731" s="169" t="s">
        <v>1203</v>
      </c>
      <c r="D1731" s="178" t="s">
        <v>1204</v>
      </c>
      <c r="E1731" s="121">
        <v>73331</v>
      </c>
      <c r="F1731" s="120">
        <v>0</v>
      </c>
    </row>
    <row r="1732" spans="1:6" ht="24">
      <c r="A1732" s="190">
        <v>540806</v>
      </c>
      <c r="B1732" s="176" t="s">
        <v>2722</v>
      </c>
      <c r="C1732" s="169" t="s">
        <v>1205</v>
      </c>
      <c r="D1732" s="178" t="s">
        <v>1206</v>
      </c>
      <c r="E1732" s="121">
        <v>64250</v>
      </c>
      <c r="F1732" s="120">
        <v>0</v>
      </c>
    </row>
    <row r="1733" spans="1:6" ht="24">
      <c r="A1733" s="190">
        <v>540806</v>
      </c>
      <c r="B1733" s="176" t="s">
        <v>2722</v>
      </c>
      <c r="C1733" s="169" t="s">
        <v>1207</v>
      </c>
      <c r="D1733" s="178" t="s">
        <v>1208</v>
      </c>
      <c r="E1733" s="121">
        <v>323129</v>
      </c>
      <c r="F1733" s="120">
        <v>0</v>
      </c>
    </row>
    <row r="1734" spans="1:6" ht="24">
      <c r="A1734" s="190">
        <v>540806</v>
      </c>
      <c r="B1734" s="176" t="s">
        <v>2722</v>
      </c>
      <c r="C1734" s="169" t="s">
        <v>1209</v>
      </c>
      <c r="D1734" s="178" t="s">
        <v>1210</v>
      </c>
      <c r="E1734" s="121">
        <v>40057</v>
      </c>
      <c r="F1734" s="120">
        <v>0</v>
      </c>
    </row>
    <row r="1735" spans="1:6" ht="24">
      <c r="A1735" s="190">
        <v>540806</v>
      </c>
      <c r="B1735" s="176" t="s">
        <v>2722</v>
      </c>
      <c r="C1735" s="169" t="s">
        <v>1211</v>
      </c>
      <c r="D1735" s="178" t="s">
        <v>1212</v>
      </c>
      <c r="E1735" s="121">
        <v>55288</v>
      </c>
      <c r="F1735" s="120">
        <v>0</v>
      </c>
    </row>
    <row r="1736" spans="1:6" ht="24">
      <c r="A1736" s="190">
        <v>540806</v>
      </c>
      <c r="B1736" s="176" t="s">
        <v>2722</v>
      </c>
      <c r="C1736" s="169" t="s">
        <v>1213</v>
      </c>
      <c r="D1736" s="178" t="s">
        <v>1214</v>
      </c>
      <c r="E1736" s="121">
        <v>145471</v>
      </c>
      <c r="F1736" s="120">
        <v>0</v>
      </c>
    </row>
    <row r="1737" spans="1:6" ht="24">
      <c r="A1737" s="190">
        <v>540806</v>
      </c>
      <c r="B1737" s="176" t="s">
        <v>2722</v>
      </c>
      <c r="C1737" s="169" t="s">
        <v>1215</v>
      </c>
      <c r="D1737" s="178" t="s">
        <v>1216</v>
      </c>
      <c r="E1737" s="121">
        <v>70306</v>
      </c>
      <c r="F1737" s="120">
        <v>0</v>
      </c>
    </row>
    <row r="1738" spans="1:6" ht="24">
      <c r="A1738" s="190">
        <v>540806</v>
      </c>
      <c r="B1738" s="176" t="s">
        <v>2722</v>
      </c>
      <c r="C1738" s="169" t="s">
        <v>1217</v>
      </c>
      <c r="D1738" s="178" t="s">
        <v>1218</v>
      </c>
      <c r="E1738" s="121">
        <v>468753</v>
      </c>
      <c r="F1738" s="120">
        <v>0</v>
      </c>
    </row>
    <row r="1739" spans="1:6" ht="24">
      <c r="A1739" s="190">
        <v>540806</v>
      </c>
      <c r="B1739" s="176" t="s">
        <v>2722</v>
      </c>
      <c r="C1739" s="169" t="s">
        <v>1219</v>
      </c>
      <c r="D1739" s="178" t="s">
        <v>1220</v>
      </c>
      <c r="E1739" s="121">
        <v>175596</v>
      </c>
      <c r="F1739" s="120">
        <v>0</v>
      </c>
    </row>
    <row r="1740" spans="1:6" ht="24">
      <c r="A1740" s="190">
        <v>540806</v>
      </c>
      <c r="B1740" s="176" t="s">
        <v>2722</v>
      </c>
      <c r="C1740" s="169" t="s">
        <v>1221</v>
      </c>
      <c r="D1740" s="178" t="s">
        <v>1222</v>
      </c>
      <c r="E1740" s="121">
        <v>20317</v>
      </c>
      <c r="F1740" s="120">
        <v>0</v>
      </c>
    </row>
    <row r="1741" spans="1:6" ht="24">
      <c r="A1741" s="190">
        <v>540806</v>
      </c>
      <c r="B1741" s="176" t="s">
        <v>2722</v>
      </c>
      <c r="C1741" s="169" t="s">
        <v>1223</v>
      </c>
      <c r="D1741" s="178" t="s">
        <v>1224</v>
      </c>
      <c r="E1741" s="121">
        <v>115260</v>
      </c>
      <c r="F1741" s="120">
        <v>0</v>
      </c>
    </row>
    <row r="1742" spans="1:6" ht="24">
      <c r="A1742" s="190">
        <v>540806</v>
      </c>
      <c r="B1742" s="176" t="s">
        <v>2722</v>
      </c>
      <c r="C1742" s="169" t="s">
        <v>1225</v>
      </c>
      <c r="D1742" s="178" t="s">
        <v>1226</v>
      </c>
      <c r="E1742" s="121">
        <v>69276</v>
      </c>
      <c r="F1742" s="120">
        <v>0</v>
      </c>
    </row>
    <row r="1743" spans="1:6" ht="24">
      <c r="A1743" s="190">
        <v>540806</v>
      </c>
      <c r="B1743" s="176" t="s">
        <v>2722</v>
      </c>
      <c r="C1743" s="169" t="s">
        <v>1227</v>
      </c>
      <c r="D1743" s="178" t="s">
        <v>1228</v>
      </c>
      <c r="E1743" s="121">
        <v>54407</v>
      </c>
      <c r="F1743" s="120">
        <v>0</v>
      </c>
    </row>
    <row r="1744" spans="1:6" ht="24">
      <c r="A1744" s="190">
        <v>540806</v>
      </c>
      <c r="B1744" s="176" t="s">
        <v>2722</v>
      </c>
      <c r="C1744" s="169" t="s">
        <v>1229</v>
      </c>
      <c r="D1744" s="178" t="s">
        <v>1230</v>
      </c>
      <c r="E1744" s="121">
        <v>255509</v>
      </c>
      <c r="F1744" s="120">
        <v>0</v>
      </c>
    </row>
    <row r="1745" spans="1:6" ht="24">
      <c r="A1745" s="190">
        <v>540806</v>
      </c>
      <c r="B1745" s="176" t="s">
        <v>2722</v>
      </c>
      <c r="C1745" s="169">
        <v>218505585</v>
      </c>
      <c r="D1745" s="178" t="s">
        <v>1231</v>
      </c>
      <c r="E1745" s="121">
        <v>111393</v>
      </c>
      <c r="F1745" s="120">
        <v>0</v>
      </c>
    </row>
    <row r="1746" spans="1:6" ht="24">
      <c r="A1746" s="190">
        <v>540806</v>
      </c>
      <c r="B1746" s="176" t="s">
        <v>2722</v>
      </c>
      <c r="C1746" s="169" t="s">
        <v>1232</v>
      </c>
      <c r="D1746" s="178" t="s">
        <v>1233</v>
      </c>
      <c r="E1746" s="121">
        <v>83748</v>
      </c>
      <c r="F1746" s="120">
        <v>0</v>
      </c>
    </row>
    <row r="1747" spans="1:6" ht="24">
      <c r="A1747" s="190">
        <v>540806</v>
      </c>
      <c r="B1747" s="176" t="s">
        <v>2722</v>
      </c>
      <c r="C1747" s="169" t="s">
        <v>1234</v>
      </c>
      <c r="D1747" s="178" t="s">
        <v>1235</v>
      </c>
      <c r="E1747" s="121">
        <v>148759</v>
      </c>
      <c r="F1747" s="120">
        <v>0</v>
      </c>
    </row>
    <row r="1748" spans="1:6" ht="24">
      <c r="A1748" s="190">
        <v>540806</v>
      </c>
      <c r="B1748" s="176" t="s">
        <v>2722</v>
      </c>
      <c r="C1748" s="169" t="s">
        <v>1236</v>
      </c>
      <c r="D1748" s="178" t="s">
        <v>1237</v>
      </c>
      <c r="E1748" s="121">
        <v>86950</v>
      </c>
      <c r="F1748" s="120">
        <v>0</v>
      </c>
    </row>
    <row r="1749" spans="1:6" ht="24">
      <c r="A1749" s="190">
        <v>540806</v>
      </c>
      <c r="B1749" s="176" t="s">
        <v>2722</v>
      </c>
      <c r="C1749" s="169" t="s">
        <v>1238</v>
      </c>
      <c r="D1749" s="178" t="s">
        <v>1239</v>
      </c>
      <c r="E1749" s="121">
        <v>612469</v>
      </c>
      <c r="F1749" s="120">
        <v>0</v>
      </c>
    </row>
    <row r="1750" spans="1:6" ht="24">
      <c r="A1750" s="190">
        <v>540806</v>
      </c>
      <c r="B1750" s="176" t="s">
        <v>2722</v>
      </c>
      <c r="C1750" s="169" t="s">
        <v>1240</v>
      </c>
      <c r="D1750" s="178" t="s">
        <v>1241</v>
      </c>
      <c r="E1750" s="121">
        <v>58545</v>
      </c>
      <c r="F1750" s="120">
        <v>0</v>
      </c>
    </row>
    <row r="1751" spans="1:6" ht="24">
      <c r="A1751" s="190">
        <v>540806</v>
      </c>
      <c r="B1751" s="176" t="s">
        <v>2722</v>
      </c>
      <c r="C1751" s="169" t="s">
        <v>1242</v>
      </c>
      <c r="D1751" s="178" t="s">
        <v>1243</v>
      </c>
      <c r="E1751" s="121">
        <v>223565</v>
      </c>
      <c r="F1751" s="120">
        <v>0</v>
      </c>
    </row>
    <row r="1752" spans="1:6" ht="24">
      <c r="A1752" s="190">
        <v>540806</v>
      </c>
      <c r="B1752" s="176" t="s">
        <v>2722</v>
      </c>
      <c r="C1752" s="169" t="s">
        <v>1244</v>
      </c>
      <c r="D1752" s="178" t="s">
        <v>1245</v>
      </c>
      <c r="E1752" s="121">
        <v>101733</v>
      </c>
      <c r="F1752" s="120">
        <v>0</v>
      </c>
    </row>
    <row r="1753" spans="1:6" ht="24">
      <c r="A1753" s="190">
        <v>540806</v>
      </c>
      <c r="B1753" s="176" t="s">
        <v>2722</v>
      </c>
      <c r="C1753" s="169">
        <v>118888000</v>
      </c>
      <c r="D1753" s="178" t="s">
        <v>1017</v>
      </c>
      <c r="E1753" s="121">
        <v>51232</v>
      </c>
      <c r="F1753" s="120">
        <v>0</v>
      </c>
    </row>
    <row r="1754" spans="1:6" ht="24">
      <c r="A1754" s="190">
        <v>540806</v>
      </c>
      <c r="B1754" s="176" t="s">
        <v>2722</v>
      </c>
      <c r="C1754" s="169" t="s">
        <v>1246</v>
      </c>
      <c r="D1754" s="178" t="s">
        <v>1247</v>
      </c>
      <c r="E1754" s="121">
        <v>99345</v>
      </c>
      <c r="F1754" s="120">
        <v>0</v>
      </c>
    </row>
    <row r="1755" spans="1:6" ht="24">
      <c r="A1755" s="190">
        <v>540806</v>
      </c>
      <c r="B1755" s="176" t="s">
        <v>2722</v>
      </c>
      <c r="C1755" s="169" t="s">
        <v>1248</v>
      </c>
      <c r="D1755" s="178" t="s">
        <v>1249</v>
      </c>
      <c r="E1755" s="121">
        <v>43987</v>
      </c>
      <c r="F1755" s="120">
        <v>0</v>
      </c>
    </row>
    <row r="1756" spans="1:6" ht="24">
      <c r="A1756" s="190">
        <v>540806</v>
      </c>
      <c r="B1756" s="176" t="s">
        <v>2722</v>
      </c>
      <c r="C1756" s="169" t="s">
        <v>1250</v>
      </c>
      <c r="D1756" s="178" t="s">
        <v>1251</v>
      </c>
      <c r="E1756" s="121">
        <v>86804</v>
      </c>
      <c r="F1756" s="120">
        <v>0</v>
      </c>
    </row>
    <row r="1757" spans="1:6" ht="24">
      <c r="A1757" s="190">
        <v>540806</v>
      </c>
      <c r="B1757" s="176" t="s">
        <v>2722</v>
      </c>
      <c r="C1757" s="169" t="s">
        <v>1252</v>
      </c>
      <c r="D1757" s="178" t="s">
        <v>1253</v>
      </c>
      <c r="E1757" s="121">
        <v>22434</v>
      </c>
      <c r="F1757" s="120">
        <v>0</v>
      </c>
    </row>
    <row r="1758" spans="1:6" ht="24">
      <c r="A1758" s="190">
        <v>540806</v>
      </c>
      <c r="B1758" s="176" t="s">
        <v>2722</v>
      </c>
      <c r="C1758" s="169" t="s">
        <v>1254</v>
      </c>
      <c r="D1758" s="178" t="s">
        <v>1255</v>
      </c>
      <c r="E1758" s="121">
        <v>272331</v>
      </c>
      <c r="F1758" s="120">
        <v>0</v>
      </c>
    </row>
    <row r="1759" spans="1:6" ht="24">
      <c r="A1759" s="190">
        <v>540806</v>
      </c>
      <c r="B1759" s="176" t="s">
        <v>2722</v>
      </c>
      <c r="C1759" s="169" t="s">
        <v>1256</v>
      </c>
      <c r="D1759" s="178" t="s">
        <v>1257</v>
      </c>
      <c r="E1759" s="121">
        <v>80489</v>
      </c>
      <c r="F1759" s="120">
        <v>0</v>
      </c>
    </row>
    <row r="1760" spans="1:6" ht="24">
      <c r="A1760" s="190">
        <v>540806</v>
      </c>
      <c r="B1760" s="176" t="s">
        <v>2722</v>
      </c>
      <c r="C1760" s="169" t="s">
        <v>1258</v>
      </c>
      <c r="D1760" s="178" t="s">
        <v>1259</v>
      </c>
      <c r="E1760" s="121">
        <v>159673</v>
      </c>
      <c r="F1760" s="120">
        <v>0</v>
      </c>
    </row>
    <row r="1761" spans="1:6" ht="24">
      <c r="A1761" s="190">
        <v>540806</v>
      </c>
      <c r="B1761" s="176" t="s">
        <v>2722</v>
      </c>
      <c r="C1761" s="169" t="s">
        <v>1260</v>
      </c>
      <c r="D1761" s="178" t="s">
        <v>1261</v>
      </c>
      <c r="E1761" s="121">
        <v>236859</v>
      </c>
      <c r="F1761" s="120">
        <v>0</v>
      </c>
    </row>
    <row r="1762" spans="1:6" ht="24">
      <c r="A1762" s="190">
        <v>540806</v>
      </c>
      <c r="B1762" s="176" t="s">
        <v>2722</v>
      </c>
      <c r="C1762" s="169" t="s">
        <v>1262</v>
      </c>
      <c r="D1762" s="178" t="s">
        <v>1263</v>
      </c>
      <c r="E1762" s="121">
        <v>89593</v>
      </c>
      <c r="F1762" s="120">
        <v>0</v>
      </c>
    </row>
    <row r="1763" spans="1:6" ht="24">
      <c r="A1763" s="190">
        <v>540806</v>
      </c>
      <c r="B1763" s="176" t="s">
        <v>2722</v>
      </c>
      <c r="C1763" s="169" t="s">
        <v>1264</v>
      </c>
      <c r="D1763" s="178" t="s">
        <v>1265</v>
      </c>
      <c r="E1763" s="121">
        <v>137859</v>
      </c>
      <c r="F1763" s="120">
        <v>0</v>
      </c>
    </row>
    <row r="1764" spans="1:6" ht="24">
      <c r="A1764" s="190">
        <v>540806</v>
      </c>
      <c r="B1764" s="176" t="s">
        <v>2722</v>
      </c>
      <c r="C1764" s="169" t="s">
        <v>1266</v>
      </c>
      <c r="D1764" s="178" t="s">
        <v>1267</v>
      </c>
      <c r="E1764" s="121">
        <v>124766</v>
      </c>
      <c r="F1764" s="120">
        <v>0</v>
      </c>
    </row>
    <row r="1765" spans="1:6" ht="24">
      <c r="A1765" s="190">
        <v>540806</v>
      </c>
      <c r="B1765" s="176" t="s">
        <v>2722</v>
      </c>
      <c r="C1765" s="169" t="s">
        <v>1268</v>
      </c>
      <c r="D1765" s="178" t="s">
        <v>1269</v>
      </c>
      <c r="E1765" s="121">
        <v>162887</v>
      </c>
      <c r="F1765" s="120">
        <v>0</v>
      </c>
    </row>
    <row r="1766" spans="1:6" ht="24">
      <c r="A1766" s="190">
        <v>540806</v>
      </c>
      <c r="B1766" s="176" t="s">
        <v>2722</v>
      </c>
      <c r="C1766" s="169" t="s">
        <v>1270</v>
      </c>
      <c r="D1766" s="178" t="s">
        <v>1271</v>
      </c>
      <c r="E1766" s="121">
        <v>220253</v>
      </c>
      <c r="F1766" s="120">
        <v>0</v>
      </c>
    </row>
    <row r="1767" spans="1:6" ht="24">
      <c r="A1767" s="190">
        <v>540806</v>
      </c>
      <c r="B1767" s="176" t="s">
        <v>2722</v>
      </c>
      <c r="C1767" s="169" t="s">
        <v>1272</v>
      </c>
      <c r="D1767" s="178" t="s">
        <v>1273</v>
      </c>
      <c r="E1767" s="121">
        <v>88924</v>
      </c>
      <c r="F1767" s="120">
        <v>0</v>
      </c>
    </row>
    <row r="1768" spans="1:6" ht="24">
      <c r="A1768" s="190">
        <v>540806</v>
      </c>
      <c r="B1768" s="176" t="s">
        <v>2722</v>
      </c>
      <c r="C1768" s="169" t="s">
        <v>1274</v>
      </c>
      <c r="D1768" s="178" t="s">
        <v>1275</v>
      </c>
      <c r="E1768" s="121">
        <v>184894</v>
      </c>
      <c r="F1768" s="120">
        <v>0</v>
      </c>
    </row>
    <row r="1769" spans="1:6" ht="24">
      <c r="A1769" s="190">
        <v>540806</v>
      </c>
      <c r="B1769" s="176" t="s">
        <v>2722</v>
      </c>
      <c r="C1769" s="169" t="s">
        <v>1276</v>
      </c>
      <c r="D1769" s="178" t="s">
        <v>1277</v>
      </c>
      <c r="E1769" s="121">
        <v>199627</v>
      </c>
      <c r="F1769" s="120">
        <v>0</v>
      </c>
    </row>
    <row r="1770" spans="1:6" ht="24">
      <c r="A1770" s="190">
        <v>540806</v>
      </c>
      <c r="B1770" s="176" t="s">
        <v>2722</v>
      </c>
      <c r="C1770" s="169" t="s">
        <v>1278</v>
      </c>
      <c r="D1770" s="178" t="s">
        <v>1279</v>
      </c>
      <c r="E1770" s="121">
        <v>257620</v>
      </c>
      <c r="F1770" s="120">
        <v>0</v>
      </c>
    </row>
    <row r="1771" spans="1:6" ht="24">
      <c r="A1771" s="190">
        <v>540806</v>
      </c>
      <c r="B1771" s="176" t="s">
        <v>2722</v>
      </c>
      <c r="C1771" s="169" t="s">
        <v>1280</v>
      </c>
      <c r="D1771" s="178" t="s">
        <v>1281</v>
      </c>
      <c r="E1771" s="121">
        <v>108059</v>
      </c>
      <c r="F1771" s="120">
        <v>0</v>
      </c>
    </row>
    <row r="1772" spans="1:6" ht="24">
      <c r="A1772" s="190">
        <v>540806</v>
      </c>
      <c r="B1772" s="176" t="s">
        <v>2722</v>
      </c>
      <c r="C1772" s="169" t="s">
        <v>1282</v>
      </c>
      <c r="D1772" s="178" t="s">
        <v>1283</v>
      </c>
      <c r="E1772" s="121">
        <v>112687</v>
      </c>
      <c r="F1772" s="120">
        <v>0</v>
      </c>
    </row>
    <row r="1773" spans="1:6" ht="24">
      <c r="A1773" s="190">
        <v>540806</v>
      </c>
      <c r="B1773" s="176" t="s">
        <v>2722</v>
      </c>
      <c r="C1773" s="169">
        <v>219005790</v>
      </c>
      <c r="D1773" s="178" t="s">
        <v>1284</v>
      </c>
      <c r="E1773" s="121">
        <v>211951</v>
      </c>
      <c r="F1773" s="120">
        <v>0</v>
      </c>
    </row>
    <row r="1774" spans="1:6" ht="24">
      <c r="A1774" s="190">
        <v>540806</v>
      </c>
      <c r="B1774" s="176" t="s">
        <v>2722</v>
      </c>
      <c r="C1774" s="169" t="s">
        <v>1285</v>
      </c>
      <c r="D1774" s="178" t="s">
        <v>1286</v>
      </c>
      <c r="E1774" s="121">
        <v>44417</v>
      </c>
      <c r="F1774" s="120">
        <v>0</v>
      </c>
    </row>
    <row r="1775" spans="1:6" ht="24">
      <c r="A1775" s="190">
        <v>540806</v>
      </c>
      <c r="B1775" s="176" t="s">
        <v>2722</v>
      </c>
      <c r="C1775" s="169" t="s">
        <v>1287</v>
      </c>
      <c r="D1775" s="178" t="s">
        <v>1288</v>
      </c>
      <c r="E1775" s="121">
        <v>66820</v>
      </c>
      <c r="F1775" s="120">
        <v>0</v>
      </c>
    </row>
    <row r="1776" spans="1:6" ht="24">
      <c r="A1776" s="190">
        <v>540806</v>
      </c>
      <c r="B1776" s="176" t="s">
        <v>2722</v>
      </c>
      <c r="C1776" s="169" t="s">
        <v>1289</v>
      </c>
      <c r="D1776" s="178" t="s">
        <v>1290</v>
      </c>
      <c r="E1776" s="121">
        <v>46999</v>
      </c>
      <c r="F1776" s="120">
        <v>0</v>
      </c>
    </row>
    <row r="1777" spans="1:6" ht="24">
      <c r="A1777" s="190">
        <v>540806</v>
      </c>
      <c r="B1777" s="176" t="s">
        <v>2722</v>
      </c>
      <c r="C1777" s="169" t="s">
        <v>1291</v>
      </c>
      <c r="D1777" s="178" t="s">
        <v>1292</v>
      </c>
      <c r="E1777" s="121">
        <v>61138</v>
      </c>
      <c r="F1777" s="120">
        <v>0</v>
      </c>
    </row>
    <row r="1778" spans="1:6" ht="24">
      <c r="A1778" s="190">
        <v>540806</v>
      </c>
      <c r="B1778" s="176" t="s">
        <v>2722</v>
      </c>
      <c r="C1778" s="169" t="s">
        <v>1293</v>
      </c>
      <c r="D1778" s="178" t="s">
        <v>1294</v>
      </c>
      <c r="E1778" s="121">
        <v>222354</v>
      </c>
      <c r="F1778" s="120">
        <v>0</v>
      </c>
    </row>
    <row r="1779" spans="1:6" ht="24">
      <c r="A1779" s="190">
        <v>540806</v>
      </c>
      <c r="B1779" s="176" t="s">
        <v>2722</v>
      </c>
      <c r="C1779" s="169" t="s">
        <v>1295</v>
      </c>
      <c r="D1779" s="178" t="s">
        <v>1296</v>
      </c>
      <c r="E1779" s="121">
        <v>109921</v>
      </c>
      <c r="F1779" s="120">
        <v>0</v>
      </c>
    </row>
    <row r="1780" spans="1:6" ht="24">
      <c r="A1780" s="190">
        <v>540806</v>
      </c>
      <c r="B1780" s="176" t="s">
        <v>2722</v>
      </c>
      <c r="C1780" s="169" t="s">
        <v>1297</v>
      </c>
      <c r="D1780" s="178" t="s">
        <v>1298</v>
      </c>
      <c r="E1780" s="121">
        <v>42630</v>
      </c>
      <c r="F1780" s="120">
        <v>0</v>
      </c>
    </row>
    <row r="1781" spans="1:6" ht="24">
      <c r="A1781" s="190">
        <v>540806</v>
      </c>
      <c r="B1781" s="176" t="s">
        <v>2722</v>
      </c>
      <c r="C1781" s="169" t="s">
        <v>1299</v>
      </c>
      <c r="D1781" s="178" t="s">
        <v>1300</v>
      </c>
      <c r="E1781" s="121">
        <v>68742</v>
      </c>
      <c r="F1781" s="120">
        <v>0</v>
      </c>
    </row>
    <row r="1782" spans="1:6" ht="24">
      <c r="A1782" s="190">
        <v>540806</v>
      </c>
      <c r="B1782" s="176" t="s">
        <v>2722</v>
      </c>
      <c r="C1782" s="169" t="s">
        <v>1301</v>
      </c>
      <c r="D1782" s="178" t="s">
        <v>1302</v>
      </c>
      <c r="E1782" s="121">
        <v>91859</v>
      </c>
      <c r="F1782" s="120">
        <v>0</v>
      </c>
    </row>
    <row r="1783" spans="1:6" ht="24">
      <c r="A1783" s="190">
        <v>540806</v>
      </c>
      <c r="B1783" s="176" t="s">
        <v>2722</v>
      </c>
      <c r="C1783" s="169" t="s">
        <v>1303</v>
      </c>
      <c r="D1783" s="178" t="s">
        <v>1304</v>
      </c>
      <c r="E1783" s="121">
        <v>149978</v>
      </c>
      <c r="F1783" s="120">
        <v>0</v>
      </c>
    </row>
    <row r="1784" spans="1:6" ht="24">
      <c r="A1784" s="190">
        <v>540806</v>
      </c>
      <c r="B1784" s="176" t="s">
        <v>2722</v>
      </c>
      <c r="C1784" s="169" t="s">
        <v>1305</v>
      </c>
      <c r="D1784" s="178" t="s">
        <v>1306</v>
      </c>
      <c r="E1784" s="121">
        <v>50069</v>
      </c>
      <c r="F1784" s="120">
        <v>0</v>
      </c>
    </row>
    <row r="1785" spans="1:6" ht="24">
      <c r="A1785" s="190">
        <v>540806</v>
      </c>
      <c r="B1785" s="176" t="s">
        <v>2722</v>
      </c>
      <c r="C1785" s="169" t="s">
        <v>1307</v>
      </c>
      <c r="D1785" s="178" t="s">
        <v>1308</v>
      </c>
      <c r="E1785" s="121">
        <v>277488</v>
      </c>
      <c r="F1785" s="120">
        <v>0</v>
      </c>
    </row>
    <row r="1786" spans="1:6" ht="24">
      <c r="A1786" s="190">
        <v>540806</v>
      </c>
      <c r="B1786" s="176" t="s">
        <v>2722</v>
      </c>
      <c r="C1786" s="169" t="s">
        <v>1309</v>
      </c>
      <c r="D1786" s="178" t="s">
        <v>1310</v>
      </c>
      <c r="E1786" s="121">
        <v>136521</v>
      </c>
      <c r="F1786" s="120">
        <v>0</v>
      </c>
    </row>
    <row r="1787" spans="1:6" ht="24">
      <c r="A1787" s="190">
        <v>540806</v>
      </c>
      <c r="B1787" s="176" t="s">
        <v>2722</v>
      </c>
      <c r="C1787" s="169" t="s">
        <v>1311</v>
      </c>
      <c r="D1787" s="178" t="s">
        <v>1312</v>
      </c>
      <c r="E1787" s="121">
        <v>117776</v>
      </c>
      <c r="F1787" s="120">
        <v>0</v>
      </c>
    </row>
    <row r="1788" spans="1:6" ht="24">
      <c r="A1788" s="190">
        <v>540806</v>
      </c>
      <c r="B1788" s="176" t="s">
        <v>2722</v>
      </c>
      <c r="C1788" s="169" t="s">
        <v>1313</v>
      </c>
      <c r="D1788" s="178" t="s">
        <v>1314</v>
      </c>
      <c r="E1788" s="121">
        <v>226584</v>
      </c>
      <c r="F1788" s="120">
        <v>0</v>
      </c>
    </row>
    <row r="1789" spans="1:6" ht="24">
      <c r="A1789" s="190">
        <v>540806</v>
      </c>
      <c r="B1789" s="176" t="s">
        <v>2722</v>
      </c>
      <c r="C1789" s="169" t="s">
        <v>1315</v>
      </c>
      <c r="D1789" s="178" t="s">
        <v>1316</v>
      </c>
      <c r="E1789" s="121">
        <v>398458</v>
      </c>
      <c r="F1789" s="120">
        <v>0</v>
      </c>
    </row>
    <row r="1790" spans="1:6" ht="24">
      <c r="A1790" s="190">
        <v>540806</v>
      </c>
      <c r="B1790" s="176" t="s">
        <v>2722</v>
      </c>
      <c r="C1790" s="169" t="s">
        <v>1317</v>
      </c>
      <c r="D1790" s="178" t="s">
        <v>1318</v>
      </c>
      <c r="E1790" s="121">
        <v>182359</v>
      </c>
      <c r="F1790" s="120">
        <v>0</v>
      </c>
    </row>
    <row r="1791" spans="1:6" ht="24">
      <c r="A1791" s="190">
        <v>540806</v>
      </c>
      <c r="B1791" s="176" t="s">
        <v>2722</v>
      </c>
      <c r="C1791" s="169" t="s">
        <v>1319</v>
      </c>
      <c r="D1791" s="178" t="s">
        <v>1320</v>
      </c>
      <c r="E1791" s="121">
        <v>113049</v>
      </c>
      <c r="F1791" s="120">
        <v>0</v>
      </c>
    </row>
    <row r="1792" spans="1:6" ht="24">
      <c r="A1792" s="190">
        <v>540806</v>
      </c>
      <c r="B1792" s="176" t="s">
        <v>2722</v>
      </c>
      <c r="C1792" s="169" t="s">
        <v>1321</v>
      </c>
      <c r="D1792" s="178" t="s">
        <v>1322</v>
      </c>
      <c r="E1792" s="121">
        <v>216808</v>
      </c>
      <c r="F1792" s="120">
        <v>0</v>
      </c>
    </row>
    <row r="1793" spans="1:6" ht="24">
      <c r="A1793" s="190">
        <v>540806</v>
      </c>
      <c r="B1793" s="176" t="s">
        <v>2722</v>
      </c>
      <c r="C1793" s="169" t="s">
        <v>1323</v>
      </c>
      <c r="D1793" s="178" t="s">
        <v>1324</v>
      </c>
      <c r="E1793" s="121">
        <v>110995</v>
      </c>
      <c r="F1793" s="120">
        <v>0</v>
      </c>
    </row>
    <row r="1794" spans="1:6" ht="24">
      <c r="A1794" s="190">
        <v>540806</v>
      </c>
      <c r="B1794" s="176" t="s">
        <v>2722</v>
      </c>
      <c r="C1794" s="169" t="s">
        <v>1325</v>
      </c>
      <c r="D1794" s="178" t="s">
        <v>1326</v>
      </c>
      <c r="E1794" s="121">
        <v>205925</v>
      </c>
      <c r="F1794" s="120">
        <v>0</v>
      </c>
    </row>
    <row r="1795" spans="1:6" ht="24">
      <c r="A1795" s="190">
        <v>540806</v>
      </c>
      <c r="B1795" s="176" t="s">
        <v>2722</v>
      </c>
      <c r="C1795" s="169" t="s">
        <v>1327</v>
      </c>
      <c r="D1795" s="178" t="s">
        <v>1328</v>
      </c>
      <c r="E1795" s="121">
        <v>428501</v>
      </c>
      <c r="F1795" s="120">
        <v>0</v>
      </c>
    </row>
    <row r="1796" spans="1:6" ht="24">
      <c r="A1796" s="190">
        <v>540806</v>
      </c>
      <c r="B1796" s="176" t="s">
        <v>2722</v>
      </c>
      <c r="C1796" s="169" t="s">
        <v>1329</v>
      </c>
      <c r="D1796" s="178" t="s">
        <v>1330</v>
      </c>
      <c r="E1796" s="121">
        <v>175020</v>
      </c>
      <c r="F1796" s="120">
        <v>0</v>
      </c>
    </row>
    <row r="1797" spans="1:6" ht="24">
      <c r="A1797" s="190">
        <v>540806</v>
      </c>
      <c r="B1797" s="176" t="s">
        <v>2722</v>
      </c>
      <c r="C1797" s="169" t="s">
        <v>1331</v>
      </c>
      <c r="D1797" s="178" t="s">
        <v>1332</v>
      </c>
      <c r="E1797" s="121">
        <v>151848</v>
      </c>
      <c r="F1797" s="120">
        <v>0</v>
      </c>
    </row>
    <row r="1798" spans="1:6" ht="24">
      <c r="A1798" s="190">
        <v>540806</v>
      </c>
      <c r="B1798" s="176" t="s">
        <v>2722</v>
      </c>
      <c r="C1798" s="169" t="s">
        <v>1333</v>
      </c>
      <c r="D1798" s="178" t="s">
        <v>1334</v>
      </c>
      <c r="E1798" s="121">
        <v>39421</v>
      </c>
      <c r="F1798" s="120">
        <v>0</v>
      </c>
    </row>
    <row r="1799" spans="1:6" ht="24">
      <c r="A1799" s="190">
        <v>540806</v>
      </c>
      <c r="B1799" s="176" t="s">
        <v>2722</v>
      </c>
      <c r="C1799" s="169" t="s">
        <v>1335</v>
      </c>
      <c r="D1799" s="178" t="s">
        <v>1336</v>
      </c>
      <c r="E1799" s="121">
        <v>99944</v>
      </c>
      <c r="F1799" s="120">
        <v>0</v>
      </c>
    </row>
    <row r="1800" spans="1:6" ht="24">
      <c r="A1800" s="190">
        <v>540806</v>
      </c>
      <c r="B1800" s="176" t="s">
        <v>2722</v>
      </c>
      <c r="C1800" s="169" t="s">
        <v>1337</v>
      </c>
      <c r="D1800" s="178" t="s">
        <v>1338</v>
      </c>
      <c r="E1800" s="121">
        <v>158569</v>
      </c>
      <c r="F1800" s="120">
        <v>0</v>
      </c>
    </row>
    <row r="1801" spans="1:6" ht="24">
      <c r="A1801" s="190">
        <v>540806</v>
      </c>
      <c r="B1801" s="176" t="s">
        <v>2722</v>
      </c>
      <c r="C1801" s="169" t="s">
        <v>1339</v>
      </c>
      <c r="D1801" s="178" t="s">
        <v>1340</v>
      </c>
      <c r="E1801" s="121">
        <v>172877</v>
      </c>
      <c r="F1801" s="120">
        <v>0</v>
      </c>
    </row>
    <row r="1802" spans="1:6" ht="24">
      <c r="A1802" s="190">
        <v>540806</v>
      </c>
      <c r="B1802" s="176" t="s">
        <v>2722</v>
      </c>
      <c r="C1802" s="169" t="s">
        <v>1341</v>
      </c>
      <c r="D1802" s="178" t="s">
        <v>1342</v>
      </c>
      <c r="E1802" s="121">
        <v>192836</v>
      </c>
      <c r="F1802" s="120">
        <v>0</v>
      </c>
    </row>
    <row r="1803" spans="1:6" ht="24">
      <c r="A1803" s="190">
        <v>540806</v>
      </c>
      <c r="B1803" s="176" t="s">
        <v>2722</v>
      </c>
      <c r="C1803" s="169" t="s">
        <v>1343</v>
      </c>
      <c r="D1803" s="178" t="s">
        <v>1344</v>
      </c>
      <c r="E1803" s="121">
        <v>200042</v>
      </c>
      <c r="F1803" s="120">
        <v>0</v>
      </c>
    </row>
    <row r="1804" spans="1:6" ht="24">
      <c r="A1804" s="190">
        <v>540806</v>
      </c>
      <c r="B1804" s="176" t="s">
        <v>2722</v>
      </c>
      <c r="C1804" s="169" t="s">
        <v>1345</v>
      </c>
      <c r="D1804" s="178" t="s">
        <v>1241</v>
      </c>
      <c r="E1804" s="121">
        <v>198108</v>
      </c>
      <c r="F1804" s="120">
        <v>0</v>
      </c>
    </row>
    <row r="1805" spans="1:6" ht="24">
      <c r="A1805" s="190">
        <v>540806</v>
      </c>
      <c r="B1805" s="176" t="s">
        <v>2722</v>
      </c>
      <c r="C1805" s="169" t="s">
        <v>1346</v>
      </c>
      <c r="D1805" s="178" t="s">
        <v>1347</v>
      </c>
      <c r="E1805" s="121">
        <v>110086</v>
      </c>
      <c r="F1805" s="120">
        <v>0</v>
      </c>
    </row>
    <row r="1806" spans="1:6" ht="24">
      <c r="A1806" s="190">
        <v>540806</v>
      </c>
      <c r="B1806" s="176" t="s">
        <v>2722</v>
      </c>
      <c r="C1806" s="169" t="s">
        <v>1348</v>
      </c>
      <c r="D1806" s="178" t="s">
        <v>1349</v>
      </c>
      <c r="E1806" s="121">
        <v>156234</v>
      </c>
      <c r="F1806" s="120">
        <v>0</v>
      </c>
    </row>
    <row r="1807" spans="1:6" ht="24">
      <c r="A1807" s="190">
        <v>540806</v>
      </c>
      <c r="B1807" s="176" t="s">
        <v>2722</v>
      </c>
      <c r="C1807" s="169" t="s">
        <v>1350</v>
      </c>
      <c r="D1807" s="178" t="s">
        <v>1351</v>
      </c>
      <c r="E1807" s="121">
        <v>85056</v>
      </c>
      <c r="F1807" s="120">
        <v>0</v>
      </c>
    </row>
    <row r="1808" spans="1:6" ht="24">
      <c r="A1808" s="190">
        <v>540806</v>
      </c>
      <c r="B1808" s="176" t="s">
        <v>2722</v>
      </c>
      <c r="C1808" s="169" t="s">
        <v>1352</v>
      </c>
      <c r="D1808" s="178" t="s">
        <v>1353</v>
      </c>
      <c r="E1808" s="121">
        <v>70667</v>
      </c>
      <c r="F1808" s="120">
        <v>0</v>
      </c>
    </row>
    <row r="1809" spans="1:6" ht="24">
      <c r="A1809" s="190">
        <v>540806</v>
      </c>
      <c r="B1809" s="176" t="s">
        <v>2722</v>
      </c>
      <c r="C1809" s="169" t="s">
        <v>1354</v>
      </c>
      <c r="D1809" s="178" t="s">
        <v>1355</v>
      </c>
      <c r="E1809" s="121">
        <v>55440</v>
      </c>
      <c r="F1809" s="120">
        <v>0</v>
      </c>
    </row>
    <row r="1810" spans="1:6" ht="24">
      <c r="A1810" s="190">
        <v>540806</v>
      </c>
      <c r="B1810" s="176" t="s">
        <v>2722</v>
      </c>
      <c r="C1810" s="169" t="s">
        <v>1356</v>
      </c>
      <c r="D1810" s="178" t="s">
        <v>1357</v>
      </c>
      <c r="E1810" s="121">
        <v>284603</v>
      </c>
      <c r="F1810" s="120">
        <v>0</v>
      </c>
    </row>
    <row r="1811" spans="1:6" ht="24">
      <c r="A1811" s="190">
        <v>540806</v>
      </c>
      <c r="B1811" s="176" t="s">
        <v>2722</v>
      </c>
      <c r="C1811" s="169">
        <v>213013030</v>
      </c>
      <c r="D1811" s="178" t="s">
        <v>1358</v>
      </c>
      <c r="E1811" s="121">
        <v>130842</v>
      </c>
      <c r="F1811" s="120">
        <v>0</v>
      </c>
    </row>
    <row r="1812" spans="1:6" ht="24">
      <c r="A1812" s="190">
        <v>540806</v>
      </c>
      <c r="B1812" s="176" t="s">
        <v>2722</v>
      </c>
      <c r="C1812" s="169" t="s">
        <v>1359</v>
      </c>
      <c r="D1812" s="178" t="s">
        <v>1360</v>
      </c>
      <c r="E1812" s="121">
        <v>95331</v>
      </c>
      <c r="F1812" s="120">
        <v>0</v>
      </c>
    </row>
    <row r="1813" spans="1:6" ht="24">
      <c r="A1813" s="190">
        <v>540806</v>
      </c>
      <c r="B1813" s="176" t="s">
        <v>2722</v>
      </c>
      <c r="C1813" s="169" t="s">
        <v>1361</v>
      </c>
      <c r="D1813" s="178" t="s">
        <v>1362</v>
      </c>
      <c r="E1813" s="121">
        <v>528528</v>
      </c>
      <c r="F1813" s="120">
        <v>0</v>
      </c>
    </row>
    <row r="1814" spans="1:6" ht="24">
      <c r="A1814" s="190">
        <v>540806</v>
      </c>
      <c r="B1814" s="176" t="s">
        <v>2722</v>
      </c>
      <c r="C1814" s="169" t="s">
        <v>1363</v>
      </c>
      <c r="D1814" s="178" t="s">
        <v>1364</v>
      </c>
      <c r="E1814" s="121">
        <v>63762</v>
      </c>
      <c r="F1814" s="120">
        <v>0</v>
      </c>
    </row>
    <row r="1815" spans="1:6" ht="24">
      <c r="A1815" s="190">
        <v>540806</v>
      </c>
      <c r="B1815" s="176" t="s">
        <v>2722</v>
      </c>
      <c r="C1815" s="169">
        <v>217413074</v>
      </c>
      <c r="D1815" s="178" t="s">
        <v>1365</v>
      </c>
      <c r="E1815" s="121">
        <v>225162</v>
      </c>
      <c r="F1815" s="120">
        <v>0</v>
      </c>
    </row>
    <row r="1816" spans="1:6" ht="24">
      <c r="A1816" s="190">
        <v>540806</v>
      </c>
      <c r="B1816" s="176" t="s">
        <v>2722</v>
      </c>
      <c r="C1816" s="169">
        <v>214013140</v>
      </c>
      <c r="D1816" s="178" t="s">
        <v>1366</v>
      </c>
      <c r="E1816" s="121">
        <v>239141</v>
      </c>
      <c r="F1816" s="120">
        <v>0</v>
      </c>
    </row>
    <row r="1817" spans="1:6" ht="24">
      <c r="A1817" s="190">
        <v>540806</v>
      </c>
      <c r="B1817" s="176" t="s">
        <v>2722</v>
      </c>
      <c r="C1817" s="169" t="s">
        <v>1367</v>
      </c>
      <c r="D1817" s="178" t="s">
        <v>1368</v>
      </c>
      <c r="E1817" s="121">
        <v>94429</v>
      </c>
      <c r="F1817" s="120">
        <v>0</v>
      </c>
    </row>
    <row r="1818" spans="1:6" ht="24">
      <c r="A1818" s="190">
        <v>540806</v>
      </c>
      <c r="B1818" s="176" t="s">
        <v>2722</v>
      </c>
      <c r="C1818" s="169" t="s">
        <v>1369</v>
      </c>
      <c r="D1818" s="178" t="s">
        <v>1370</v>
      </c>
      <c r="E1818" s="121">
        <v>135839</v>
      </c>
      <c r="F1818" s="120">
        <v>0</v>
      </c>
    </row>
    <row r="1819" spans="1:6" ht="24">
      <c r="A1819" s="190">
        <v>540806</v>
      </c>
      <c r="B1819" s="176" t="s">
        <v>2722</v>
      </c>
      <c r="C1819" s="169" t="s">
        <v>1371</v>
      </c>
      <c r="D1819" s="178" t="s">
        <v>1001</v>
      </c>
      <c r="E1819" s="121">
        <v>173559</v>
      </c>
      <c r="F1819" s="120">
        <v>0</v>
      </c>
    </row>
    <row r="1820" spans="1:6" ht="24">
      <c r="A1820" s="190">
        <v>540806</v>
      </c>
      <c r="B1820" s="176" t="s">
        <v>2722</v>
      </c>
      <c r="C1820" s="169" t="s">
        <v>1372</v>
      </c>
      <c r="D1820" s="178" t="s">
        <v>1373</v>
      </c>
      <c r="E1820" s="121">
        <v>138938</v>
      </c>
      <c r="F1820" s="120">
        <v>0</v>
      </c>
    </row>
    <row r="1821" spans="1:6" ht="24">
      <c r="A1821" s="190">
        <v>540806</v>
      </c>
      <c r="B1821" s="176" t="s">
        <v>2722</v>
      </c>
      <c r="C1821" s="169" t="s">
        <v>1374</v>
      </c>
      <c r="D1821" s="178" t="s">
        <v>1375</v>
      </c>
      <c r="E1821" s="121">
        <v>644909</v>
      </c>
      <c r="F1821" s="120">
        <v>0</v>
      </c>
    </row>
    <row r="1822" spans="1:6" ht="24">
      <c r="A1822" s="190">
        <v>540806</v>
      </c>
      <c r="B1822" s="176" t="s">
        <v>2722</v>
      </c>
      <c r="C1822" s="169" t="s">
        <v>1376</v>
      </c>
      <c r="D1822" s="178" t="s">
        <v>1377</v>
      </c>
      <c r="E1822" s="121">
        <v>72160</v>
      </c>
      <c r="F1822" s="120">
        <v>0</v>
      </c>
    </row>
    <row r="1823" spans="1:6" ht="24">
      <c r="A1823" s="190">
        <v>540806</v>
      </c>
      <c r="B1823" s="176" t="s">
        <v>2722</v>
      </c>
      <c r="C1823" s="169" t="s">
        <v>1378</v>
      </c>
      <c r="D1823" s="178" t="s">
        <v>1379</v>
      </c>
      <c r="E1823" s="121">
        <v>116330</v>
      </c>
      <c r="F1823" s="120">
        <v>0</v>
      </c>
    </row>
    <row r="1824" spans="1:6" ht="24">
      <c r="A1824" s="190">
        <v>540806</v>
      </c>
      <c r="B1824" s="176" t="s">
        <v>2722</v>
      </c>
      <c r="C1824" s="169" t="s">
        <v>1380</v>
      </c>
      <c r="D1824" s="178" t="s">
        <v>1381</v>
      </c>
      <c r="E1824" s="121">
        <v>153039</v>
      </c>
      <c r="F1824" s="120">
        <v>0</v>
      </c>
    </row>
    <row r="1825" spans="1:6" ht="24">
      <c r="A1825" s="190">
        <v>540806</v>
      </c>
      <c r="B1825" s="176" t="s">
        <v>2722</v>
      </c>
      <c r="C1825" s="169" t="s">
        <v>1382</v>
      </c>
      <c r="D1825" s="178" t="s">
        <v>1383</v>
      </c>
      <c r="E1825" s="121">
        <v>244427</v>
      </c>
      <c r="F1825" s="120">
        <v>0</v>
      </c>
    </row>
    <row r="1826" spans="1:6" ht="24">
      <c r="A1826" s="190">
        <v>540806</v>
      </c>
      <c r="B1826" s="176" t="s">
        <v>2722</v>
      </c>
      <c r="C1826" s="169" t="s">
        <v>1384</v>
      </c>
      <c r="D1826" s="178" t="s">
        <v>1385</v>
      </c>
      <c r="E1826" s="121">
        <v>133910</v>
      </c>
      <c r="F1826" s="120">
        <v>0</v>
      </c>
    </row>
    <row r="1827" spans="1:6" ht="24">
      <c r="A1827" s="190">
        <v>540806</v>
      </c>
      <c r="B1827" s="176" t="s">
        <v>2722</v>
      </c>
      <c r="C1827" s="169" t="s">
        <v>1386</v>
      </c>
      <c r="D1827" s="178" t="s">
        <v>1387</v>
      </c>
      <c r="E1827" s="121">
        <v>561489</v>
      </c>
      <c r="F1827" s="120">
        <v>0</v>
      </c>
    </row>
    <row r="1828" spans="1:6" ht="24">
      <c r="A1828" s="190">
        <v>540806</v>
      </c>
      <c r="B1828" s="176" t="s">
        <v>2722</v>
      </c>
      <c r="C1828" s="169">
        <v>215813458</v>
      </c>
      <c r="D1828" s="178" t="s">
        <v>1388</v>
      </c>
      <c r="E1828" s="121">
        <v>160037</v>
      </c>
      <c r="F1828" s="120">
        <v>0</v>
      </c>
    </row>
    <row r="1829" spans="1:6" ht="24">
      <c r="A1829" s="190">
        <v>540806</v>
      </c>
      <c r="B1829" s="176" t="s">
        <v>2722</v>
      </c>
      <c r="C1829" s="169">
        <v>216813468</v>
      </c>
      <c r="D1829" s="178" t="s">
        <v>1389</v>
      </c>
      <c r="E1829" s="121">
        <v>458539</v>
      </c>
      <c r="F1829" s="120">
        <v>0</v>
      </c>
    </row>
    <row r="1830" spans="1:6" ht="24">
      <c r="A1830" s="190">
        <v>540806</v>
      </c>
      <c r="B1830" s="176" t="s">
        <v>2722</v>
      </c>
      <c r="C1830" s="169" t="s">
        <v>1390</v>
      </c>
      <c r="D1830" s="178" t="s">
        <v>1391</v>
      </c>
      <c r="E1830" s="121">
        <v>218369</v>
      </c>
      <c r="F1830" s="120">
        <v>0</v>
      </c>
    </row>
    <row r="1831" spans="1:6" ht="24">
      <c r="A1831" s="190">
        <v>540806</v>
      </c>
      <c r="B1831" s="176" t="s">
        <v>2722</v>
      </c>
      <c r="C1831" s="169" t="s">
        <v>1392</v>
      </c>
      <c r="D1831" s="178" t="s">
        <v>1393</v>
      </c>
      <c r="E1831" s="121">
        <v>289657</v>
      </c>
      <c r="F1831" s="120">
        <v>0</v>
      </c>
    </row>
    <row r="1832" spans="1:6" ht="24">
      <c r="A1832" s="190">
        <v>540806</v>
      </c>
      <c r="B1832" s="176" t="s">
        <v>2722</v>
      </c>
      <c r="C1832" s="169" t="s">
        <v>1394</v>
      </c>
      <c r="D1832" s="178" t="s">
        <v>1395</v>
      </c>
      <c r="E1832" s="121">
        <v>72469</v>
      </c>
      <c r="F1832" s="120">
        <v>0</v>
      </c>
    </row>
    <row r="1833" spans="1:6" ht="24">
      <c r="A1833" s="190">
        <v>540806</v>
      </c>
      <c r="B1833" s="176" t="s">
        <v>2722</v>
      </c>
      <c r="C1833" s="169">
        <v>210013600</v>
      </c>
      <c r="D1833" s="178" t="s">
        <v>1396</v>
      </c>
      <c r="E1833" s="121">
        <v>175102</v>
      </c>
      <c r="F1833" s="120">
        <v>0</v>
      </c>
    </row>
    <row r="1834" spans="1:6" ht="24">
      <c r="A1834" s="190">
        <v>540806</v>
      </c>
      <c r="B1834" s="176" t="s">
        <v>2722</v>
      </c>
      <c r="C1834" s="169" t="s">
        <v>1397</v>
      </c>
      <c r="D1834" s="178" t="s">
        <v>1398</v>
      </c>
      <c r="E1834" s="121">
        <v>62675</v>
      </c>
      <c r="F1834" s="120">
        <v>0</v>
      </c>
    </row>
    <row r="1835" spans="1:6" ht="24">
      <c r="A1835" s="190">
        <v>540806</v>
      </c>
      <c r="B1835" s="176" t="s">
        <v>2722</v>
      </c>
      <c r="C1835" s="169" t="s">
        <v>1399</v>
      </c>
      <c r="D1835" s="178" t="s">
        <v>1400</v>
      </c>
      <c r="E1835" s="121">
        <v>137348</v>
      </c>
      <c r="F1835" s="120">
        <v>0</v>
      </c>
    </row>
    <row r="1836" spans="1:6" ht="24">
      <c r="A1836" s="190">
        <v>540806</v>
      </c>
      <c r="B1836" s="176" t="s">
        <v>2722</v>
      </c>
      <c r="C1836" s="169" t="s">
        <v>1401</v>
      </c>
      <c r="D1836" s="178" t="s">
        <v>1402</v>
      </c>
      <c r="E1836" s="121">
        <v>121557</v>
      </c>
      <c r="F1836" s="120">
        <v>0</v>
      </c>
    </row>
    <row r="1837" spans="1:6" ht="24">
      <c r="A1837" s="190">
        <v>540806</v>
      </c>
      <c r="B1837" s="176" t="s">
        <v>2722</v>
      </c>
      <c r="C1837" s="169" t="s">
        <v>1403</v>
      </c>
      <c r="D1837" s="178" t="s">
        <v>1404</v>
      </c>
      <c r="E1837" s="121">
        <v>51147</v>
      </c>
      <c r="F1837" s="120">
        <v>0</v>
      </c>
    </row>
    <row r="1838" spans="1:6" ht="24">
      <c r="A1838" s="190">
        <v>540806</v>
      </c>
      <c r="B1838" s="176" t="s">
        <v>2722</v>
      </c>
      <c r="C1838" s="169">
        <v>215513655</v>
      </c>
      <c r="D1838" s="178" t="s">
        <v>1405</v>
      </c>
      <c r="E1838" s="121">
        <v>144838</v>
      </c>
      <c r="F1838" s="120">
        <v>0</v>
      </c>
    </row>
    <row r="1839" spans="1:6" ht="24">
      <c r="A1839" s="190">
        <v>540806</v>
      </c>
      <c r="B1839" s="176" t="s">
        <v>2722</v>
      </c>
      <c r="C1839" s="169">
        <v>215713657</v>
      </c>
      <c r="D1839" s="178" t="s">
        <v>1406</v>
      </c>
      <c r="E1839" s="121">
        <v>355261</v>
      </c>
      <c r="F1839" s="120">
        <v>0</v>
      </c>
    </row>
    <row r="1840" spans="1:6" ht="24">
      <c r="A1840" s="190">
        <v>540806</v>
      </c>
      <c r="B1840" s="176" t="s">
        <v>2722</v>
      </c>
      <c r="C1840" s="169">
        <v>216713667</v>
      </c>
      <c r="D1840" s="178" t="s">
        <v>1407</v>
      </c>
      <c r="E1840" s="121">
        <v>223704</v>
      </c>
      <c r="F1840" s="120">
        <v>0</v>
      </c>
    </row>
    <row r="1841" spans="1:6" ht="24">
      <c r="A1841" s="190">
        <v>540806</v>
      </c>
      <c r="B1841" s="176" t="s">
        <v>2722</v>
      </c>
      <c r="C1841" s="169" t="s">
        <v>1408</v>
      </c>
      <c r="D1841" s="178" t="s">
        <v>1409</v>
      </c>
      <c r="E1841" s="121">
        <v>305832</v>
      </c>
      <c r="F1841" s="120">
        <v>0</v>
      </c>
    </row>
    <row r="1842" spans="1:6" ht="24">
      <c r="A1842" s="190">
        <v>540806</v>
      </c>
      <c r="B1842" s="176" t="s">
        <v>2722</v>
      </c>
      <c r="C1842" s="169" t="s">
        <v>1410</v>
      </c>
      <c r="D1842" s="178" t="s">
        <v>1411</v>
      </c>
      <c r="E1842" s="121">
        <v>131802</v>
      </c>
      <c r="F1842" s="120">
        <v>0</v>
      </c>
    </row>
    <row r="1843" spans="1:6" ht="24">
      <c r="A1843" s="190">
        <v>540806</v>
      </c>
      <c r="B1843" s="176" t="s">
        <v>2722</v>
      </c>
      <c r="C1843" s="169">
        <v>218313683</v>
      </c>
      <c r="D1843" s="178" t="s">
        <v>1412</v>
      </c>
      <c r="E1843" s="121">
        <v>184593</v>
      </c>
      <c r="F1843" s="120">
        <v>0</v>
      </c>
    </row>
    <row r="1844" spans="1:6" ht="24">
      <c r="A1844" s="190">
        <v>540806</v>
      </c>
      <c r="B1844" s="176" t="s">
        <v>2722</v>
      </c>
      <c r="C1844" s="169">
        <v>218813688</v>
      </c>
      <c r="D1844" s="178" t="s">
        <v>1413</v>
      </c>
      <c r="E1844" s="121">
        <v>346542</v>
      </c>
      <c r="F1844" s="120">
        <v>0</v>
      </c>
    </row>
    <row r="1845" spans="1:6" ht="24">
      <c r="A1845" s="190">
        <v>540806</v>
      </c>
      <c r="B1845" s="176" t="s">
        <v>2722</v>
      </c>
      <c r="C1845" s="169" t="s">
        <v>1414</v>
      </c>
      <c r="D1845" s="178" t="s">
        <v>1415</v>
      </c>
      <c r="E1845" s="121">
        <v>236857</v>
      </c>
      <c r="F1845" s="120">
        <v>0</v>
      </c>
    </row>
    <row r="1846" spans="1:6" ht="24">
      <c r="A1846" s="190">
        <v>540806</v>
      </c>
      <c r="B1846" s="176" t="s">
        <v>2722</v>
      </c>
      <c r="C1846" s="169" t="s">
        <v>1416</v>
      </c>
      <c r="D1846" s="178" t="s">
        <v>1417</v>
      </c>
      <c r="E1846" s="121">
        <v>77738</v>
      </c>
      <c r="F1846" s="120">
        <v>0</v>
      </c>
    </row>
    <row r="1847" spans="1:6" ht="24">
      <c r="A1847" s="190">
        <v>540806</v>
      </c>
      <c r="B1847" s="176" t="s">
        <v>2722</v>
      </c>
      <c r="C1847" s="169" t="s">
        <v>1418</v>
      </c>
      <c r="D1847" s="178" t="s">
        <v>1419</v>
      </c>
      <c r="E1847" s="121">
        <v>146285</v>
      </c>
      <c r="F1847" s="120">
        <v>0</v>
      </c>
    </row>
    <row r="1848" spans="1:6" ht="24">
      <c r="A1848" s="190">
        <v>540806</v>
      </c>
      <c r="B1848" s="176" t="s">
        <v>2722</v>
      </c>
      <c r="C1848" s="169" t="s">
        <v>1420</v>
      </c>
      <c r="D1848" s="178" t="s">
        <v>1421</v>
      </c>
      <c r="E1848" s="121">
        <v>225480</v>
      </c>
      <c r="F1848" s="120">
        <v>0</v>
      </c>
    </row>
    <row r="1849" spans="1:6" ht="24">
      <c r="A1849" s="190">
        <v>540806</v>
      </c>
      <c r="B1849" s="176" t="s">
        <v>2722</v>
      </c>
      <c r="C1849" s="169" t="s">
        <v>1422</v>
      </c>
      <c r="D1849" s="178" t="s">
        <v>1423</v>
      </c>
      <c r="E1849" s="121">
        <v>424246</v>
      </c>
      <c r="F1849" s="120">
        <v>0</v>
      </c>
    </row>
    <row r="1850" spans="1:6" ht="24">
      <c r="A1850" s="190">
        <v>540806</v>
      </c>
      <c r="B1850" s="176" t="s">
        <v>2722</v>
      </c>
      <c r="C1850" s="169" t="s">
        <v>1424</v>
      </c>
      <c r="D1850" s="178" t="s">
        <v>1425</v>
      </c>
      <c r="E1850" s="121">
        <v>141528</v>
      </c>
      <c r="F1850" s="120">
        <v>0</v>
      </c>
    </row>
    <row r="1851" spans="1:6" ht="24">
      <c r="A1851" s="190">
        <v>540806</v>
      </c>
      <c r="B1851" s="176" t="s">
        <v>2722</v>
      </c>
      <c r="C1851" s="169" t="s">
        <v>1426</v>
      </c>
      <c r="D1851" s="178" t="s">
        <v>1427</v>
      </c>
      <c r="E1851" s="121">
        <v>178399</v>
      </c>
      <c r="F1851" s="120">
        <v>0</v>
      </c>
    </row>
    <row r="1852" spans="1:6" ht="24">
      <c r="A1852" s="190">
        <v>540806</v>
      </c>
      <c r="B1852" s="176" t="s">
        <v>2722</v>
      </c>
      <c r="C1852" s="169" t="s">
        <v>1428</v>
      </c>
      <c r="D1852" s="178" t="s">
        <v>1429</v>
      </c>
      <c r="E1852" s="121">
        <v>106351</v>
      </c>
      <c r="F1852" s="120">
        <v>0</v>
      </c>
    </row>
    <row r="1853" spans="1:6" ht="24">
      <c r="A1853" s="190">
        <v>540806</v>
      </c>
      <c r="B1853" s="176" t="s">
        <v>2722</v>
      </c>
      <c r="C1853" s="169" t="s">
        <v>1430</v>
      </c>
      <c r="D1853" s="178" t="s">
        <v>1431</v>
      </c>
      <c r="E1853" s="121">
        <v>13201</v>
      </c>
      <c r="F1853" s="120">
        <v>0</v>
      </c>
    </row>
    <row r="1854" spans="1:6" ht="24">
      <c r="A1854" s="190">
        <v>540806</v>
      </c>
      <c r="B1854" s="176" t="s">
        <v>2722</v>
      </c>
      <c r="C1854" s="169" t="s">
        <v>1432</v>
      </c>
      <c r="D1854" s="178" t="s">
        <v>1433</v>
      </c>
      <c r="E1854" s="121">
        <v>116936</v>
      </c>
      <c r="F1854" s="120">
        <v>0</v>
      </c>
    </row>
    <row r="1855" spans="1:6" ht="24">
      <c r="A1855" s="190">
        <v>540806</v>
      </c>
      <c r="B1855" s="176" t="s">
        <v>2722</v>
      </c>
      <c r="C1855" s="169" t="s">
        <v>1434</v>
      </c>
      <c r="D1855" s="178" t="s">
        <v>1435</v>
      </c>
      <c r="E1855" s="121">
        <v>38845</v>
      </c>
      <c r="F1855" s="120">
        <v>0</v>
      </c>
    </row>
    <row r="1856" spans="1:6" ht="24">
      <c r="A1856" s="190">
        <v>540806</v>
      </c>
      <c r="B1856" s="176" t="s">
        <v>2722</v>
      </c>
      <c r="C1856" s="169" t="s">
        <v>1436</v>
      </c>
      <c r="D1856" s="178" t="s">
        <v>1437</v>
      </c>
      <c r="E1856" s="121">
        <v>62855</v>
      </c>
      <c r="F1856" s="120">
        <v>0</v>
      </c>
    </row>
    <row r="1857" spans="1:6" ht="24">
      <c r="A1857" s="190">
        <v>540806</v>
      </c>
      <c r="B1857" s="176" t="s">
        <v>2722</v>
      </c>
      <c r="C1857" s="169" t="s">
        <v>1438</v>
      </c>
      <c r="D1857" s="178" t="s">
        <v>1439</v>
      </c>
      <c r="E1857" s="121">
        <v>14532</v>
      </c>
      <c r="F1857" s="120">
        <v>0</v>
      </c>
    </row>
    <row r="1858" spans="1:6" ht="24">
      <c r="A1858" s="190">
        <v>540806</v>
      </c>
      <c r="B1858" s="176" t="s">
        <v>2722</v>
      </c>
      <c r="C1858" s="169" t="s">
        <v>1440</v>
      </c>
      <c r="D1858" s="178" t="s">
        <v>1441</v>
      </c>
      <c r="E1858" s="121">
        <v>17749</v>
      </c>
      <c r="F1858" s="120">
        <v>0</v>
      </c>
    </row>
    <row r="1859" spans="1:6" ht="24">
      <c r="A1859" s="190">
        <v>540806</v>
      </c>
      <c r="B1859" s="176" t="s">
        <v>2722</v>
      </c>
      <c r="C1859" s="169" t="s">
        <v>1442</v>
      </c>
      <c r="D1859" s="178" t="s">
        <v>1443</v>
      </c>
      <c r="E1859" s="121">
        <v>57711</v>
      </c>
      <c r="F1859" s="120">
        <v>0</v>
      </c>
    </row>
    <row r="1860" spans="1:6" ht="24">
      <c r="A1860" s="190">
        <v>540806</v>
      </c>
      <c r="B1860" s="176" t="s">
        <v>2722</v>
      </c>
      <c r="C1860" s="169" t="s">
        <v>1444</v>
      </c>
      <c r="D1860" s="178" t="s">
        <v>995</v>
      </c>
      <c r="E1860" s="121">
        <v>34366</v>
      </c>
      <c r="F1860" s="120">
        <v>0</v>
      </c>
    </row>
    <row r="1861" spans="1:6" ht="24">
      <c r="A1861" s="190">
        <v>540806</v>
      </c>
      <c r="B1861" s="176" t="s">
        <v>2722</v>
      </c>
      <c r="C1861" s="169" t="s">
        <v>1445</v>
      </c>
      <c r="D1861" s="178" t="s">
        <v>1446</v>
      </c>
      <c r="E1861" s="121">
        <v>20559</v>
      </c>
      <c r="F1861" s="120">
        <v>0</v>
      </c>
    </row>
    <row r="1862" spans="1:6" ht="24">
      <c r="A1862" s="190">
        <v>540806</v>
      </c>
      <c r="B1862" s="176" t="s">
        <v>2722</v>
      </c>
      <c r="C1862" s="169" t="s">
        <v>1447</v>
      </c>
      <c r="D1862" s="178" t="s">
        <v>1448</v>
      </c>
      <c r="E1862" s="121">
        <v>44831</v>
      </c>
      <c r="F1862" s="120">
        <v>0</v>
      </c>
    </row>
    <row r="1863" spans="1:6" ht="24">
      <c r="A1863" s="190">
        <v>540806</v>
      </c>
      <c r="B1863" s="176" t="s">
        <v>2722</v>
      </c>
      <c r="C1863" s="169">
        <v>211415114</v>
      </c>
      <c r="D1863" s="178" t="s">
        <v>1449</v>
      </c>
      <c r="E1863" s="121">
        <v>4027</v>
      </c>
      <c r="F1863" s="120">
        <v>0</v>
      </c>
    </row>
    <row r="1864" spans="1:6" ht="24">
      <c r="A1864" s="190">
        <v>540806</v>
      </c>
      <c r="B1864" s="176" t="s">
        <v>2722</v>
      </c>
      <c r="C1864" s="169" t="s">
        <v>1450</v>
      </c>
      <c r="D1864" s="178" t="s">
        <v>996</v>
      </c>
      <c r="E1864" s="121">
        <v>28097</v>
      </c>
      <c r="F1864" s="120">
        <v>0</v>
      </c>
    </row>
    <row r="1865" spans="1:6" ht="24">
      <c r="A1865" s="190">
        <v>540806</v>
      </c>
      <c r="B1865" s="176" t="s">
        <v>2722</v>
      </c>
      <c r="C1865" s="169" t="s">
        <v>1451</v>
      </c>
      <c r="D1865" s="178" t="s">
        <v>1452</v>
      </c>
      <c r="E1865" s="121">
        <v>26882</v>
      </c>
      <c r="F1865" s="120">
        <v>0</v>
      </c>
    </row>
    <row r="1866" spans="1:6" ht="24">
      <c r="A1866" s="190">
        <v>540806</v>
      </c>
      <c r="B1866" s="176" t="s">
        <v>2722</v>
      </c>
      <c r="C1866" s="169" t="s">
        <v>1453</v>
      </c>
      <c r="D1866" s="178" t="s">
        <v>1454</v>
      </c>
      <c r="E1866" s="121">
        <v>29216</v>
      </c>
      <c r="F1866" s="120">
        <v>0</v>
      </c>
    </row>
    <row r="1867" spans="1:6" ht="24">
      <c r="A1867" s="190">
        <v>540806</v>
      </c>
      <c r="B1867" s="176" t="s">
        <v>2722</v>
      </c>
      <c r="C1867" s="169" t="s">
        <v>1455</v>
      </c>
      <c r="D1867" s="178" t="s">
        <v>1456</v>
      </c>
      <c r="E1867" s="121">
        <v>25886</v>
      </c>
      <c r="F1867" s="120">
        <v>0</v>
      </c>
    </row>
    <row r="1868" spans="1:6" ht="24">
      <c r="A1868" s="190">
        <v>540806</v>
      </c>
      <c r="B1868" s="176" t="s">
        <v>2722</v>
      </c>
      <c r="C1868" s="169" t="s">
        <v>1457</v>
      </c>
      <c r="D1868" s="178" t="s">
        <v>1458</v>
      </c>
      <c r="E1868" s="121">
        <v>400541</v>
      </c>
      <c r="F1868" s="120">
        <v>0</v>
      </c>
    </row>
    <row r="1869" spans="1:6" ht="24">
      <c r="A1869" s="190">
        <v>540806</v>
      </c>
      <c r="B1869" s="176" t="s">
        <v>2722</v>
      </c>
      <c r="C1869" s="169" t="s">
        <v>1459</v>
      </c>
      <c r="D1869" s="178" t="s">
        <v>1460</v>
      </c>
      <c r="E1869" s="121">
        <v>41010</v>
      </c>
      <c r="F1869" s="120">
        <v>0</v>
      </c>
    </row>
    <row r="1870" spans="1:6" ht="24">
      <c r="A1870" s="190">
        <v>540806</v>
      </c>
      <c r="B1870" s="176" t="s">
        <v>2722</v>
      </c>
      <c r="C1870" s="169" t="s">
        <v>1461</v>
      </c>
      <c r="D1870" s="178" t="s">
        <v>1462</v>
      </c>
      <c r="E1870" s="121">
        <v>98817</v>
      </c>
      <c r="F1870" s="120">
        <v>0</v>
      </c>
    </row>
    <row r="1871" spans="1:6" ht="24">
      <c r="A1871" s="190">
        <v>540806</v>
      </c>
      <c r="B1871" s="176" t="s">
        <v>2722</v>
      </c>
      <c r="C1871" s="169" t="s">
        <v>1463</v>
      </c>
      <c r="D1871" s="178" t="s">
        <v>1464</v>
      </c>
      <c r="E1871" s="121">
        <v>57278</v>
      </c>
      <c r="F1871" s="120">
        <v>0</v>
      </c>
    </row>
    <row r="1872" spans="1:6" ht="24">
      <c r="A1872" s="190">
        <v>540806</v>
      </c>
      <c r="B1872" s="176" t="s">
        <v>2722</v>
      </c>
      <c r="C1872" s="169" t="s">
        <v>1465</v>
      </c>
      <c r="D1872" s="178" t="s">
        <v>1466</v>
      </c>
      <c r="E1872" s="121">
        <v>21255</v>
      </c>
      <c r="F1872" s="120">
        <v>0</v>
      </c>
    </row>
    <row r="1873" spans="1:6" ht="24">
      <c r="A1873" s="190">
        <v>540806</v>
      </c>
      <c r="B1873" s="176" t="s">
        <v>2722</v>
      </c>
      <c r="C1873" s="169">
        <v>218915189</v>
      </c>
      <c r="D1873" s="178" t="s">
        <v>1068</v>
      </c>
      <c r="E1873" s="121">
        <v>32155</v>
      </c>
      <c r="F1873" s="120">
        <v>0</v>
      </c>
    </row>
    <row r="1874" spans="1:6" ht="24">
      <c r="A1874" s="190">
        <v>540806</v>
      </c>
      <c r="B1874" s="176" t="s">
        <v>2722</v>
      </c>
      <c r="C1874" s="169" t="s">
        <v>1467</v>
      </c>
      <c r="D1874" s="178" t="s">
        <v>1468</v>
      </c>
      <c r="E1874" s="121">
        <v>60977</v>
      </c>
      <c r="F1874" s="120">
        <v>0</v>
      </c>
    </row>
    <row r="1875" spans="1:6" ht="24">
      <c r="A1875" s="190">
        <v>540806</v>
      </c>
      <c r="B1875" s="176" t="s">
        <v>2722</v>
      </c>
      <c r="C1875" s="169" t="s">
        <v>1469</v>
      </c>
      <c r="D1875" s="178" t="s">
        <v>1470</v>
      </c>
      <c r="E1875" s="121">
        <v>31106</v>
      </c>
      <c r="F1875" s="120">
        <v>0</v>
      </c>
    </row>
    <row r="1876" spans="1:6" ht="24">
      <c r="A1876" s="190">
        <v>540806</v>
      </c>
      <c r="B1876" s="176" t="s">
        <v>2722</v>
      </c>
      <c r="C1876" s="169" t="s">
        <v>1471</v>
      </c>
      <c r="D1876" s="178" t="s">
        <v>1472</v>
      </c>
      <c r="E1876" s="121">
        <v>17016</v>
      </c>
      <c r="F1876" s="120">
        <v>0</v>
      </c>
    </row>
    <row r="1877" spans="1:6" ht="24">
      <c r="A1877" s="190">
        <v>540806</v>
      </c>
      <c r="B1877" s="176" t="s">
        <v>2722</v>
      </c>
      <c r="C1877" s="169" t="s">
        <v>1473</v>
      </c>
      <c r="D1877" s="178" t="s">
        <v>1474</v>
      </c>
      <c r="E1877" s="121">
        <v>29191</v>
      </c>
      <c r="F1877" s="120">
        <v>0</v>
      </c>
    </row>
    <row r="1878" spans="1:6" ht="24">
      <c r="A1878" s="190">
        <v>540806</v>
      </c>
      <c r="B1878" s="176" t="s">
        <v>2722</v>
      </c>
      <c r="C1878" s="169" t="s">
        <v>1475</v>
      </c>
      <c r="D1878" s="178" t="s">
        <v>1476</v>
      </c>
      <c r="E1878" s="121">
        <v>53546</v>
      </c>
      <c r="F1878" s="120">
        <v>0</v>
      </c>
    </row>
    <row r="1879" spans="1:6" ht="24">
      <c r="A1879" s="190">
        <v>540806</v>
      </c>
      <c r="B1879" s="176" t="s">
        <v>2722</v>
      </c>
      <c r="C1879" s="169" t="s">
        <v>1477</v>
      </c>
      <c r="D1879" s="178" t="s">
        <v>1478</v>
      </c>
      <c r="E1879" s="121">
        <v>32276</v>
      </c>
      <c r="F1879" s="120">
        <v>0</v>
      </c>
    </row>
    <row r="1880" spans="1:6" ht="24">
      <c r="A1880" s="190">
        <v>540806</v>
      </c>
      <c r="B1880" s="176" t="s">
        <v>2722</v>
      </c>
      <c r="C1880" s="169" t="s">
        <v>1479</v>
      </c>
      <c r="D1880" s="178" t="s">
        <v>1480</v>
      </c>
      <c r="E1880" s="121">
        <v>13957</v>
      </c>
      <c r="F1880" s="120">
        <v>0</v>
      </c>
    </row>
    <row r="1881" spans="1:6" ht="24">
      <c r="A1881" s="190">
        <v>540806</v>
      </c>
      <c r="B1881" s="176" t="s">
        <v>2722</v>
      </c>
      <c r="C1881" s="169">
        <v>213215232</v>
      </c>
      <c r="D1881" s="178" t="s">
        <v>1481</v>
      </c>
      <c r="E1881" s="121">
        <v>44279</v>
      </c>
      <c r="F1881" s="120">
        <v>0</v>
      </c>
    </row>
    <row r="1882" spans="1:6" ht="24">
      <c r="A1882" s="190">
        <v>540806</v>
      </c>
      <c r="B1882" s="176" t="s">
        <v>2722</v>
      </c>
      <c r="C1882" s="169" t="s">
        <v>1482</v>
      </c>
      <c r="D1882" s="178" t="s">
        <v>1483</v>
      </c>
      <c r="E1882" s="121">
        <v>14564</v>
      </c>
      <c r="F1882" s="120">
        <v>0</v>
      </c>
    </row>
    <row r="1883" spans="1:6" ht="24">
      <c r="A1883" s="190">
        <v>540806</v>
      </c>
      <c r="B1883" s="176" t="s">
        <v>2722</v>
      </c>
      <c r="C1883" s="169" t="s">
        <v>1484</v>
      </c>
      <c r="D1883" s="178" t="s">
        <v>1485</v>
      </c>
      <c r="E1883" s="121">
        <v>40621</v>
      </c>
      <c r="F1883" s="120">
        <v>0</v>
      </c>
    </row>
    <row r="1884" spans="1:6" ht="24">
      <c r="A1884" s="190">
        <v>540806</v>
      </c>
      <c r="B1884" s="176" t="s">
        <v>2722</v>
      </c>
      <c r="C1884" s="169" t="s">
        <v>1486</v>
      </c>
      <c r="D1884" s="178" t="s">
        <v>1487</v>
      </c>
      <c r="E1884" s="121">
        <v>21225</v>
      </c>
      <c r="F1884" s="120">
        <v>0</v>
      </c>
    </row>
    <row r="1885" spans="1:6" ht="24">
      <c r="A1885" s="190">
        <v>540806</v>
      </c>
      <c r="B1885" s="176" t="s">
        <v>2722</v>
      </c>
      <c r="C1885" s="169" t="s">
        <v>1488</v>
      </c>
      <c r="D1885" s="178" t="s">
        <v>1489</v>
      </c>
      <c r="E1885" s="121">
        <v>35907</v>
      </c>
      <c r="F1885" s="120">
        <v>0</v>
      </c>
    </row>
    <row r="1886" spans="1:6" ht="24">
      <c r="A1886" s="190">
        <v>540806</v>
      </c>
      <c r="B1886" s="176" t="s">
        <v>2722</v>
      </c>
      <c r="C1886" s="169" t="s">
        <v>1490</v>
      </c>
      <c r="D1886" s="178" t="s">
        <v>1491</v>
      </c>
      <c r="E1886" s="121">
        <v>26917</v>
      </c>
      <c r="F1886" s="120">
        <v>0</v>
      </c>
    </row>
    <row r="1887" spans="1:6" ht="24">
      <c r="A1887" s="190">
        <v>540806</v>
      </c>
      <c r="B1887" s="176" t="s">
        <v>2722</v>
      </c>
      <c r="C1887" s="169" t="s">
        <v>1492</v>
      </c>
      <c r="D1887" s="178" t="s">
        <v>1493</v>
      </c>
      <c r="E1887" s="121">
        <v>22558</v>
      </c>
      <c r="F1887" s="120">
        <v>0</v>
      </c>
    </row>
    <row r="1888" spans="1:6" ht="24">
      <c r="A1888" s="190">
        <v>540806</v>
      </c>
      <c r="B1888" s="176" t="s">
        <v>2722</v>
      </c>
      <c r="C1888" s="169" t="s">
        <v>1494</v>
      </c>
      <c r="D1888" s="178" t="s">
        <v>1495</v>
      </c>
      <c r="E1888" s="121">
        <v>34305</v>
      </c>
      <c r="F1888" s="120">
        <v>0</v>
      </c>
    </row>
    <row r="1889" spans="1:6" ht="24">
      <c r="A1889" s="190">
        <v>540806</v>
      </c>
      <c r="B1889" s="176" t="s">
        <v>2722</v>
      </c>
      <c r="C1889" s="169" t="s">
        <v>1496</v>
      </c>
      <c r="D1889" s="178" t="s">
        <v>1497</v>
      </c>
      <c r="E1889" s="121">
        <v>120071</v>
      </c>
      <c r="F1889" s="120">
        <v>0</v>
      </c>
    </row>
    <row r="1890" spans="1:6" ht="24">
      <c r="A1890" s="190">
        <v>540806</v>
      </c>
      <c r="B1890" s="176" t="s">
        <v>2722</v>
      </c>
      <c r="C1890" s="169" t="s">
        <v>1498</v>
      </c>
      <c r="D1890" s="178" t="s">
        <v>1499</v>
      </c>
      <c r="E1890" s="121">
        <v>14442</v>
      </c>
      <c r="F1890" s="120">
        <v>0</v>
      </c>
    </row>
    <row r="1891" spans="1:6" ht="24">
      <c r="A1891" s="190">
        <v>540806</v>
      </c>
      <c r="B1891" s="176" t="s">
        <v>2722</v>
      </c>
      <c r="C1891" s="169" t="s">
        <v>1500</v>
      </c>
      <c r="D1891" s="178" t="s">
        <v>1501</v>
      </c>
      <c r="E1891" s="121">
        <v>77322</v>
      </c>
      <c r="F1891" s="120">
        <v>0</v>
      </c>
    </row>
    <row r="1892" spans="1:6" ht="24">
      <c r="A1892" s="190">
        <v>540806</v>
      </c>
      <c r="B1892" s="176" t="s">
        <v>2722</v>
      </c>
      <c r="C1892" s="169" t="s">
        <v>1502</v>
      </c>
      <c r="D1892" s="178" t="s">
        <v>1503</v>
      </c>
      <c r="E1892" s="121">
        <v>26643</v>
      </c>
      <c r="F1892" s="120">
        <v>0</v>
      </c>
    </row>
    <row r="1893" spans="1:6" ht="24">
      <c r="A1893" s="190">
        <v>540806</v>
      </c>
      <c r="B1893" s="176" t="s">
        <v>2722</v>
      </c>
      <c r="C1893" s="169">
        <v>213215332</v>
      </c>
      <c r="D1893" s="178" t="s">
        <v>1504</v>
      </c>
      <c r="E1893" s="121">
        <v>28683</v>
      </c>
      <c r="F1893" s="120">
        <v>0</v>
      </c>
    </row>
    <row r="1894" spans="1:6" ht="24">
      <c r="A1894" s="190">
        <v>540806</v>
      </c>
      <c r="B1894" s="176" t="s">
        <v>2722</v>
      </c>
      <c r="C1894" s="169" t="s">
        <v>1505</v>
      </c>
      <c r="D1894" s="178" t="s">
        <v>1506</v>
      </c>
      <c r="E1894" s="121">
        <v>14472</v>
      </c>
      <c r="F1894" s="120">
        <v>0</v>
      </c>
    </row>
    <row r="1895" spans="1:6" ht="24">
      <c r="A1895" s="190">
        <v>540806</v>
      </c>
      <c r="B1895" s="176" t="s">
        <v>2722</v>
      </c>
      <c r="C1895" s="169" t="s">
        <v>1507</v>
      </c>
      <c r="D1895" s="178" t="s">
        <v>1508</v>
      </c>
      <c r="E1895" s="121">
        <v>46446</v>
      </c>
      <c r="F1895" s="120">
        <v>0</v>
      </c>
    </row>
    <row r="1896" spans="1:6" ht="24">
      <c r="A1896" s="190">
        <v>540806</v>
      </c>
      <c r="B1896" s="176" t="s">
        <v>2722</v>
      </c>
      <c r="C1896" s="169" t="s">
        <v>1509</v>
      </c>
      <c r="D1896" s="178" t="s">
        <v>1195</v>
      </c>
      <c r="E1896" s="121">
        <v>37563</v>
      </c>
      <c r="F1896" s="120">
        <v>0</v>
      </c>
    </row>
    <row r="1897" spans="1:6" ht="24">
      <c r="A1897" s="190">
        <v>540806</v>
      </c>
      <c r="B1897" s="176" t="s">
        <v>2722</v>
      </c>
      <c r="C1897" s="169" t="s">
        <v>1510</v>
      </c>
      <c r="D1897" s="178" t="s">
        <v>1511</v>
      </c>
      <c r="E1897" s="121">
        <v>36745</v>
      </c>
      <c r="F1897" s="120">
        <v>0</v>
      </c>
    </row>
    <row r="1898" spans="1:6" ht="24">
      <c r="A1898" s="190">
        <v>540806</v>
      </c>
      <c r="B1898" s="176" t="s">
        <v>2722</v>
      </c>
      <c r="C1898" s="169" t="s">
        <v>1512</v>
      </c>
      <c r="D1898" s="178" t="s">
        <v>1513</v>
      </c>
      <c r="E1898" s="121">
        <v>17167</v>
      </c>
      <c r="F1898" s="120">
        <v>0</v>
      </c>
    </row>
    <row r="1899" spans="1:6" ht="24">
      <c r="A1899" s="190">
        <v>540806</v>
      </c>
      <c r="B1899" s="176" t="s">
        <v>2722</v>
      </c>
      <c r="C1899" s="169" t="s">
        <v>1514</v>
      </c>
      <c r="D1899" s="178" t="s">
        <v>1515</v>
      </c>
      <c r="E1899" s="121">
        <v>11632</v>
      </c>
      <c r="F1899" s="120">
        <v>0</v>
      </c>
    </row>
    <row r="1900" spans="1:6" ht="24">
      <c r="A1900" s="190">
        <v>540806</v>
      </c>
      <c r="B1900" s="176" t="s">
        <v>2722</v>
      </c>
      <c r="C1900" s="169" t="s">
        <v>1516</v>
      </c>
      <c r="D1900" s="178" t="s">
        <v>1517</v>
      </c>
      <c r="E1900" s="121">
        <v>25525</v>
      </c>
      <c r="F1900" s="120">
        <v>0</v>
      </c>
    </row>
    <row r="1901" spans="1:6" ht="24">
      <c r="A1901" s="190">
        <v>540806</v>
      </c>
      <c r="B1901" s="176" t="s">
        <v>2722</v>
      </c>
      <c r="C1901" s="169" t="s">
        <v>1518</v>
      </c>
      <c r="D1901" s="178" t="s">
        <v>1519</v>
      </c>
      <c r="E1901" s="121">
        <v>78234</v>
      </c>
      <c r="F1901" s="120">
        <v>0</v>
      </c>
    </row>
    <row r="1902" spans="1:6" ht="24">
      <c r="A1902" s="190">
        <v>540806</v>
      </c>
      <c r="B1902" s="176" t="s">
        <v>2722</v>
      </c>
      <c r="C1902" s="169" t="s">
        <v>1520</v>
      </c>
      <c r="D1902" s="178" t="s">
        <v>1521</v>
      </c>
      <c r="E1902" s="121">
        <v>33608</v>
      </c>
      <c r="F1902" s="120">
        <v>0</v>
      </c>
    </row>
    <row r="1903" spans="1:6" ht="24">
      <c r="A1903" s="190">
        <v>540806</v>
      </c>
      <c r="B1903" s="176" t="s">
        <v>2722</v>
      </c>
      <c r="C1903" s="169" t="s">
        <v>1522</v>
      </c>
      <c r="D1903" s="178" t="s">
        <v>1523</v>
      </c>
      <c r="E1903" s="121">
        <v>70904</v>
      </c>
      <c r="F1903" s="120">
        <v>0</v>
      </c>
    </row>
    <row r="1904" spans="1:6" ht="24">
      <c r="A1904" s="190">
        <v>540806</v>
      </c>
      <c r="B1904" s="176" t="s">
        <v>2722</v>
      </c>
      <c r="C1904" s="169" t="s">
        <v>1524</v>
      </c>
      <c r="D1904" s="178" t="s">
        <v>1525</v>
      </c>
      <c r="E1904" s="121">
        <v>65124</v>
      </c>
      <c r="F1904" s="120">
        <v>0</v>
      </c>
    </row>
    <row r="1905" spans="1:6" ht="24">
      <c r="A1905" s="190">
        <v>540806</v>
      </c>
      <c r="B1905" s="176" t="s">
        <v>2722</v>
      </c>
      <c r="C1905" s="169" t="s">
        <v>1526</v>
      </c>
      <c r="D1905" s="178" t="s">
        <v>1527</v>
      </c>
      <c r="E1905" s="121">
        <v>37878</v>
      </c>
      <c r="F1905" s="120">
        <v>0</v>
      </c>
    </row>
    <row r="1906" spans="1:6" ht="24">
      <c r="A1906" s="190">
        <v>540806</v>
      </c>
      <c r="B1906" s="176" t="s">
        <v>2722</v>
      </c>
      <c r="C1906" s="169" t="s">
        <v>1528</v>
      </c>
      <c r="D1906" s="178" t="s">
        <v>1529</v>
      </c>
      <c r="E1906" s="121">
        <v>41508</v>
      </c>
      <c r="F1906" s="120">
        <v>0</v>
      </c>
    </row>
    <row r="1907" spans="1:6" ht="24">
      <c r="A1907" s="190">
        <v>540806</v>
      </c>
      <c r="B1907" s="176" t="s">
        <v>2722</v>
      </c>
      <c r="C1907" s="169" t="s">
        <v>1530</v>
      </c>
      <c r="D1907" s="178" t="s">
        <v>1531</v>
      </c>
      <c r="E1907" s="121">
        <v>167644</v>
      </c>
      <c r="F1907" s="120">
        <v>0</v>
      </c>
    </row>
    <row r="1908" spans="1:6" ht="24">
      <c r="A1908" s="190">
        <v>540806</v>
      </c>
      <c r="B1908" s="176" t="s">
        <v>2722</v>
      </c>
      <c r="C1908" s="169">
        <v>217615476</v>
      </c>
      <c r="D1908" s="178" t="s">
        <v>1532</v>
      </c>
      <c r="E1908" s="121">
        <v>40329</v>
      </c>
      <c r="F1908" s="120">
        <v>0</v>
      </c>
    </row>
    <row r="1909" spans="1:6" ht="24">
      <c r="A1909" s="190">
        <v>540806</v>
      </c>
      <c r="B1909" s="176" t="s">
        <v>2722</v>
      </c>
      <c r="C1909" s="169" t="s">
        <v>1533</v>
      </c>
      <c r="D1909" s="178" t="s">
        <v>1534</v>
      </c>
      <c r="E1909" s="121">
        <v>81721</v>
      </c>
      <c r="F1909" s="120">
        <v>0</v>
      </c>
    </row>
    <row r="1910" spans="1:6" ht="24">
      <c r="A1910" s="190">
        <v>540806</v>
      </c>
      <c r="B1910" s="176" t="s">
        <v>2722</v>
      </c>
      <c r="C1910" s="169" t="s">
        <v>1535</v>
      </c>
      <c r="D1910" s="178" t="s">
        <v>1536</v>
      </c>
      <c r="E1910" s="121">
        <v>90941</v>
      </c>
      <c r="F1910" s="120">
        <v>0</v>
      </c>
    </row>
    <row r="1911" spans="1:6" ht="24">
      <c r="A1911" s="190">
        <v>540806</v>
      </c>
      <c r="B1911" s="176" t="s">
        <v>2722</v>
      </c>
      <c r="C1911" s="169" t="s">
        <v>1537</v>
      </c>
      <c r="D1911" s="178" t="s">
        <v>1538</v>
      </c>
      <c r="E1911" s="121">
        <v>35242</v>
      </c>
      <c r="F1911" s="120">
        <v>0</v>
      </c>
    </row>
    <row r="1912" spans="1:6" ht="24">
      <c r="A1912" s="190">
        <v>540806</v>
      </c>
      <c r="B1912" s="176" t="s">
        <v>2722</v>
      </c>
      <c r="C1912" s="169" t="s">
        <v>1539</v>
      </c>
      <c r="D1912" s="178" t="s">
        <v>1540</v>
      </c>
      <c r="E1912" s="121">
        <v>19983</v>
      </c>
      <c r="F1912" s="120">
        <v>0</v>
      </c>
    </row>
    <row r="1913" spans="1:6" ht="24">
      <c r="A1913" s="190">
        <v>540806</v>
      </c>
      <c r="B1913" s="176" t="s">
        <v>2722</v>
      </c>
      <c r="C1913" s="169" t="s">
        <v>1541</v>
      </c>
      <c r="D1913" s="178" t="s">
        <v>1542</v>
      </c>
      <c r="E1913" s="121">
        <v>80762</v>
      </c>
      <c r="F1913" s="120">
        <v>0</v>
      </c>
    </row>
    <row r="1914" spans="1:6" ht="24">
      <c r="A1914" s="190">
        <v>540806</v>
      </c>
      <c r="B1914" s="176" t="s">
        <v>2722</v>
      </c>
      <c r="C1914" s="169" t="s">
        <v>1543</v>
      </c>
      <c r="D1914" s="178" t="s">
        <v>1544</v>
      </c>
      <c r="E1914" s="121">
        <v>14231</v>
      </c>
      <c r="F1914" s="120">
        <v>0</v>
      </c>
    </row>
    <row r="1915" spans="1:6" ht="24">
      <c r="A1915" s="190">
        <v>540806</v>
      </c>
      <c r="B1915" s="176" t="s">
        <v>2722</v>
      </c>
      <c r="C1915" s="169">
        <v>211415514</v>
      </c>
      <c r="D1915" s="178" t="s">
        <v>1545</v>
      </c>
      <c r="E1915" s="121">
        <v>24586</v>
      </c>
      <c r="F1915" s="120">
        <v>0</v>
      </c>
    </row>
    <row r="1916" spans="1:6" ht="24">
      <c r="A1916" s="190">
        <v>540806</v>
      </c>
      <c r="B1916" s="176" t="s">
        <v>2722</v>
      </c>
      <c r="C1916" s="169" t="s">
        <v>1546</v>
      </c>
      <c r="D1916" s="178" t="s">
        <v>1547</v>
      </c>
      <c r="E1916" s="121">
        <v>196453</v>
      </c>
      <c r="F1916" s="120">
        <v>0</v>
      </c>
    </row>
    <row r="1917" spans="1:6" ht="24">
      <c r="A1917" s="190">
        <v>540806</v>
      </c>
      <c r="B1917" s="176" t="s">
        <v>2722</v>
      </c>
      <c r="C1917" s="169" t="s">
        <v>1548</v>
      </c>
      <c r="D1917" s="178" t="s">
        <v>1549</v>
      </c>
      <c r="E1917" s="121">
        <v>18621</v>
      </c>
      <c r="F1917" s="120">
        <v>0</v>
      </c>
    </row>
    <row r="1918" spans="1:6" ht="24">
      <c r="A1918" s="190">
        <v>540806</v>
      </c>
      <c r="B1918" s="176" t="s">
        <v>2722</v>
      </c>
      <c r="C1918" s="169">
        <v>212215522</v>
      </c>
      <c r="D1918" s="178" t="s">
        <v>1550</v>
      </c>
      <c r="E1918" s="121">
        <v>16260</v>
      </c>
      <c r="F1918" s="120">
        <v>0</v>
      </c>
    </row>
    <row r="1919" spans="1:6" ht="24">
      <c r="A1919" s="190">
        <v>540806</v>
      </c>
      <c r="B1919" s="176" t="s">
        <v>2722</v>
      </c>
      <c r="C1919" s="169" t="s">
        <v>1551</v>
      </c>
      <c r="D1919" s="178" t="s">
        <v>1552</v>
      </c>
      <c r="E1919" s="121">
        <v>72002</v>
      </c>
      <c r="F1919" s="120">
        <v>0</v>
      </c>
    </row>
    <row r="1920" spans="1:6" ht="24">
      <c r="A1920" s="190">
        <v>540806</v>
      </c>
      <c r="B1920" s="176" t="s">
        <v>2722</v>
      </c>
      <c r="C1920" s="169" t="s">
        <v>1553</v>
      </c>
      <c r="D1920" s="178" t="s">
        <v>1554</v>
      </c>
      <c r="E1920" s="121">
        <v>23653</v>
      </c>
      <c r="F1920" s="120">
        <v>0</v>
      </c>
    </row>
    <row r="1921" spans="1:6" ht="24">
      <c r="A1921" s="190">
        <v>540806</v>
      </c>
      <c r="B1921" s="176" t="s">
        <v>2722</v>
      </c>
      <c r="C1921" s="169" t="s">
        <v>1555</v>
      </c>
      <c r="D1921" s="178" t="s">
        <v>1556</v>
      </c>
      <c r="E1921" s="121">
        <v>36603</v>
      </c>
      <c r="F1921" s="120">
        <v>0</v>
      </c>
    </row>
    <row r="1922" spans="1:6" ht="24">
      <c r="A1922" s="190">
        <v>540806</v>
      </c>
      <c r="B1922" s="176" t="s">
        <v>2722</v>
      </c>
      <c r="C1922" s="169" t="s">
        <v>1557</v>
      </c>
      <c r="D1922" s="178" t="s">
        <v>1558</v>
      </c>
      <c r="E1922" s="121">
        <v>58861</v>
      </c>
      <c r="F1922" s="120">
        <v>0</v>
      </c>
    </row>
    <row r="1923" spans="1:6" ht="24">
      <c r="A1923" s="190">
        <v>540806</v>
      </c>
      <c r="B1923" s="176" t="s">
        <v>2722</v>
      </c>
      <c r="C1923" s="169" t="s">
        <v>1559</v>
      </c>
      <c r="D1923" s="178" t="s">
        <v>1560</v>
      </c>
      <c r="E1923" s="121">
        <v>14235</v>
      </c>
      <c r="F1923" s="120">
        <v>0</v>
      </c>
    </row>
    <row r="1924" spans="1:6" ht="24">
      <c r="A1924" s="190">
        <v>540806</v>
      </c>
      <c r="B1924" s="176" t="s">
        <v>2722</v>
      </c>
      <c r="C1924" s="169" t="s">
        <v>1561</v>
      </c>
      <c r="D1924" s="178" t="s">
        <v>1562</v>
      </c>
      <c r="E1924" s="121">
        <v>340008</v>
      </c>
      <c r="F1924" s="120">
        <v>0</v>
      </c>
    </row>
    <row r="1925" spans="1:6" ht="24">
      <c r="A1925" s="190">
        <v>540806</v>
      </c>
      <c r="B1925" s="176" t="s">
        <v>2722</v>
      </c>
      <c r="C1925" s="169">
        <v>218015580</v>
      </c>
      <c r="D1925" s="178" t="s">
        <v>1563</v>
      </c>
      <c r="E1925" s="121">
        <v>57094</v>
      </c>
      <c r="F1925" s="120">
        <v>0</v>
      </c>
    </row>
    <row r="1926" spans="1:6" ht="24">
      <c r="A1926" s="190">
        <v>540806</v>
      </c>
      <c r="B1926" s="176" t="s">
        <v>2722</v>
      </c>
      <c r="C1926" s="169" t="s">
        <v>1564</v>
      </c>
      <c r="D1926" s="178" t="s">
        <v>1565</v>
      </c>
      <c r="E1926" s="121">
        <v>74000</v>
      </c>
      <c r="F1926" s="120">
        <v>0</v>
      </c>
    </row>
    <row r="1927" spans="1:6" ht="24">
      <c r="A1927" s="190">
        <v>540806</v>
      </c>
      <c r="B1927" s="176" t="s">
        <v>2722</v>
      </c>
      <c r="C1927" s="169">
        <v>210015600</v>
      </c>
      <c r="D1927" s="178" t="s">
        <v>1566</v>
      </c>
      <c r="E1927" s="121">
        <v>43840</v>
      </c>
      <c r="F1927" s="120">
        <v>0</v>
      </c>
    </row>
    <row r="1928" spans="1:6" ht="24">
      <c r="A1928" s="190">
        <v>540806</v>
      </c>
      <c r="B1928" s="176" t="s">
        <v>2722</v>
      </c>
      <c r="C1928" s="169" t="s">
        <v>1567</v>
      </c>
      <c r="D1928" s="178" t="s">
        <v>1568</v>
      </c>
      <c r="E1928" s="121">
        <v>18621</v>
      </c>
      <c r="F1928" s="120">
        <v>0</v>
      </c>
    </row>
    <row r="1929" spans="1:6" ht="24">
      <c r="A1929" s="190">
        <v>540806</v>
      </c>
      <c r="B1929" s="176" t="s">
        <v>2722</v>
      </c>
      <c r="C1929" s="169" t="s">
        <v>1569</v>
      </c>
      <c r="D1929" s="178" t="s">
        <v>1570</v>
      </c>
      <c r="E1929" s="121">
        <v>110884</v>
      </c>
      <c r="F1929" s="120">
        <v>0</v>
      </c>
    </row>
    <row r="1930" spans="1:6" ht="24">
      <c r="A1930" s="190">
        <v>540806</v>
      </c>
      <c r="B1930" s="176" t="s">
        <v>2722</v>
      </c>
      <c r="C1930" s="169" t="s">
        <v>1571</v>
      </c>
      <c r="D1930" s="178" t="s">
        <v>1572</v>
      </c>
      <c r="E1930" s="121">
        <v>26463</v>
      </c>
      <c r="F1930" s="120">
        <v>0</v>
      </c>
    </row>
    <row r="1931" spans="1:6" ht="24">
      <c r="A1931" s="190">
        <v>540806</v>
      </c>
      <c r="B1931" s="176" t="s">
        <v>2722</v>
      </c>
      <c r="C1931" s="169" t="s">
        <v>1573</v>
      </c>
      <c r="D1931" s="178" t="s">
        <v>1574</v>
      </c>
      <c r="E1931" s="121">
        <v>122167</v>
      </c>
      <c r="F1931" s="120">
        <v>0</v>
      </c>
    </row>
    <row r="1932" spans="1:6" ht="24">
      <c r="A1932" s="190">
        <v>540806</v>
      </c>
      <c r="B1932" s="176" t="s">
        <v>2722</v>
      </c>
      <c r="C1932" s="169" t="s">
        <v>1575</v>
      </c>
      <c r="D1932" s="178" t="s">
        <v>1576</v>
      </c>
      <c r="E1932" s="121">
        <v>15866</v>
      </c>
      <c r="F1932" s="120">
        <v>0</v>
      </c>
    </row>
    <row r="1933" spans="1:6" ht="24">
      <c r="A1933" s="190">
        <v>540806</v>
      </c>
      <c r="B1933" s="176" t="s">
        <v>2722</v>
      </c>
      <c r="C1933" s="169" t="s">
        <v>1577</v>
      </c>
      <c r="D1933" s="178" t="s">
        <v>1578</v>
      </c>
      <c r="E1933" s="121">
        <v>41570</v>
      </c>
      <c r="F1933" s="120">
        <v>0</v>
      </c>
    </row>
    <row r="1934" spans="1:6" ht="24">
      <c r="A1934" s="190">
        <v>540806</v>
      </c>
      <c r="B1934" s="176" t="s">
        <v>2722</v>
      </c>
      <c r="C1934" s="169" t="s">
        <v>1579</v>
      </c>
      <c r="D1934" s="178" t="s">
        <v>1580</v>
      </c>
      <c r="E1934" s="121">
        <v>42784</v>
      </c>
      <c r="F1934" s="120">
        <v>0</v>
      </c>
    </row>
    <row r="1935" spans="1:6" ht="24">
      <c r="A1935" s="190">
        <v>540806</v>
      </c>
      <c r="B1935" s="176" t="s">
        <v>2722</v>
      </c>
      <c r="C1935" s="169" t="s">
        <v>1581</v>
      </c>
      <c r="D1935" s="178" t="s">
        <v>1582</v>
      </c>
      <c r="E1935" s="121">
        <v>38157</v>
      </c>
      <c r="F1935" s="120">
        <v>0</v>
      </c>
    </row>
    <row r="1936" spans="1:6" ht="24">
      <c r="A1936" s="190">
        <v>540806</v>
      </c>
      <c r="B1936" s="176" t="s">
        <v>2722</v>
      </c>
      <c r="C1936" s="169">
        <v>217615676</v>
      </c>
      <c r="D1936" s="178" t="s">
        <v>1583</v>
      </c>
      <c r="E1936" s="121">
        <v>31094</v>
      </c>
      <c r="F1936" s="120">
        <v>0</v>
      </c>
    </row>
    <row r="1937" spans="1:6" ht="24">
      <c r="A1937" s="190">
        <v>540806</v>
      </c>
      <c r="B1937" s="176" t="s">
        <v>2722</v>
      </c>
      <c r="C1937" s="169">
        <v>218115681</v>
      </c>
      <c r="D1937" s="178" t="s">
        <v>1584</v>
      </c>
      <c r="E1937" s="121">
        <v>77573</v>
      </c>
      <c r="F1937" s="120">
        <v>0</v>
      </c>
    </row>
    <row r="1938" spans="1:6" ht="24">
      <c r="A1938" s="190">
        <v>540806</v>
      </c>
      <c r="B1938" s="176" t="s">
        <v>2722</v>
      </c>
      <c r="C1938" s="169">
        <v>218615686</v>
      </c>
      <c r="D1938" s="178" t="s">
        <v>1585</v>
      </c>
      <c r="E1938" s="121">
        <v>61553</v>
      </c>
      <c r="F1938" s="120">
        <v>0</v>
      </c>
    </row>
    <row r="1939" spans="1:6" ht="24">
      <c r="A1939" s="190">
        <v>540806</v>
      </c>
      <c r="B1939" s="176" t="s">
        <v>2722</v>
      </c>
      <c r="C1939" s="169">
        <v>219015690</v>
      </c>
      <c r="D1939" s="178" t="s">
        <v>1586</v>
      </c>
      <c r="E1939" s="121">
        <v>34759</v>
      </c>
      <c r="F1939" s="120">
        <v>0</v>
      </c>
    </row>
    <row r="1940" spans="1:6" ht="24">
      <c r="A1940" s="190">
        <v>540806</v>
      </c>
      <c r="B1940" s="176" t="s">
        <v>2722</v>
      </c>
      <c r="C1940" s="169">
        <v>219315693</v>
      </c>
      <c r="D1940" s="178" t="s">
        <v>1587</v>
      </c>
      <c r="E1940" s="121">
        <v>73448</v>
      </c>
      <c r="F1940" s="120">
        <v>0</v>
      </c>
    </row>
    <row r="1941" spans="1:6" ht="24">
      <c r="A1941" s="190">
        <v>540806</v>
      </c>
      <c r="B1941" s="176" t="s">
        <v>2722</v>
      </c>
      <c r="C1941" s="169">
        <v>219615696</v>
      </c>
      <c r="D1941" s="178" t="s">
        <v>1588</v>
      </c>
      <c r="E1941" s="121">
        <v>18803</v>
      </c>
      <c r="F1941" s="120">
        <v>0</v>
      </c>
    </row>
    <row r="1942" spans="1:6" ht="24">
      <c r="A1942" s="190">
        <v>540806</v>
      </c>
      <c r="B1942" s="176" t="s">
        <v>2722</v>
      </c>
      <c r="C1942" s="169">
        <v>212015720</v>
      </c>
      <c r="D1942" s="178" t="s">
        <v>1589</v>
      </c>
      <c r="E1942" s="121">
        <v>18053</v>
      </c>
      <c r="F1942" s="120">
        <v>0</v>
      </c>
    </row>
    <row r="1943" spans="1:6" ht="24">
      <c r="A1943" s="190">
        <v>540806</v>
      </c>
      <c r="B1943" s="176" t="s">
        <v>2722</v>
      </c>
      <c r="C1943" s="169">
        <v>212315723</v>
      </c>
      <c r="D1943" s="178" t="s">
        <v>1590</v>
      </c>
      <c r="E1943" s="121">
        <v>9386</v>
      </c>
      <c r="F1943" s="120">
        <v>0</v>
      </c>
    </row>
    <row r="1944" spans="1:6" ht="24">
      <c r="A1944" s="190">
        <v>540806</v>
      </c>
      <c r="B1944" s="176" t="s">
        <v>2722</v>
      </c>
      <c r="C1944" s="169">
        <v>214015740</v>
      </c>
      <c r="D1944" s="178" t="s">
        <v>1591</v>
      </c>
      <c r="E1944" s="121">
        <v>68823</v>
      </c>
      <c r="F1944" s="120">
        <v>0</v>
      </c>
    </row>
    <row r="1945" spans="1:6" ht="24">
      <c r="A1945" s="190">
        <v>540806</v>
      </c>
      <c r="B1945" s="176" t="s">
        <v>2722</v>
      </c>
      <c r="C1945" s="169">
        <v>215315753</v>
      </c>
      <c r="D1945" s="178" t="s">
        <v>1592</v>
      </c>
      <c r="E1945" s="121">
        <v>75364</v>
      </c>
      <c r="F1945" s="120">
        <v>0</v>
      </c>
    </row>
    <row r="1946" spans="1:6" ht="24">
      <c r="A1946" s="190">
        <v>540806</v>
      </c>
      <c r="B1946" s="176" t="s">
        <v>2722</v>
      </c>
      <c r="C1946" s="169">
        <v>215515755</v>
      </c>
      <c r="D1946" s="178" t="s">
        <v>1593</v>
      </c>
      <c r="E1946" s="121">
        <v>65245</v>
      </c>
      <c r="F1946" s="120">
        <v>0</v>
      </c>
    </row>
    <row r="1947" spans="1:6" ht="24">
      <c r="A1947" s="190">
        <v>540806</v>
      </c>
      <c r="B1947" s="176" t="s">
        <v>2722</v>
      </c>
      <c r="C1947" s="169">
        <v>215715757</v>
      </c>
      <c r="D1947" s="178" t="s">
        <v>1594</v>
      </c>
      <c r="E1947" s="121">
        <v>55739</v>
      </c>
      <c r="F1947" s="120">
        <v>0</v>
      </c>
    </row>
    <row r="1948" spans="1:6" ht="24">
      <c r="A1948" s="190">
        <v>540806</v>
      </c>
      <c r="B1948" s="176" t="s">
        <v>2722</v>
      </c>
      <c r="C1948" s="169">
        <v>216115761</v>
      </c>
      <c r="D1948" s="178" t="s">
        <v>1595</v>
      </c>
      <c r="E1948" s="121">
        <v>28037</v>
      </c>
      <c r="F1948" s="120">
        <v>0</v>
      </c>
    </row>
    <row r="1949" spans="1:6" ht="24">
      <c r="A1949" s="190">
        <v>540806</v>
      </c>
      <c r="B1949" s="176" t="s">
        <v>2722</v>
      </c>
      <c r="C1949" s="169">
        <v>216215762</v>
      </c>
      <c r="D1949" s="178" t="s">
        <v>1596</v>
      </c>
      <c r="E1949" s="121">
        <v>26766</v>
      </c>
      <c r="F1949" s="120">
        <v>0</v>
      </c>
    </row>
    <row r="1950" spans="1:6" ht="24">
      <c r="A1950" s="190">
        <v>540806</v>
      </c>
      <c r="B1950" s="176" t="s">
        <v>2722</v>
      </c>
      <c r="C1950" s="169">
        <v>216315763</v>
      </c>
      <c r="D1950" s="178" t="s">
        <v>1597</v>
      </c>
      <c r="E1950" s="121">
        <v>57071</v>
      </c>
      <c r="F1950" s="120">
        <v>0</v>
      </c>
    </row>
    <row r="1951" spans="1:6" ht="24">
      <c r="A1951" s="190">
        <v>540806</v>
      </c>
      <c r="B1951" s="176" t="s">
        <v>2722</v>
      </c>
      <c r="C1951" s="169">
        <v>216415764</v>
      </c>
      <c r="D1951" s="178" t="s">
        <v>1598</v>
      </c>
      <c r="E1951" s="121">
        <v>48083</v>
      </c>
      <c r="F1951" s="120">
        <v>0</v>
      </c>
    </row>
    <row r="1952" spans="1:6" ht="24">
      <c r="A1952" s="190">
        <v>540806</v>
      </c>
      <c r="B1952" s="176" t="s">
        <v>2722</v>
      </c>
      <c r="C1952" s="169">
        <v>217415774</v>
      </c>
      <c r="D1952" s="178" t="s">
        <v>1599</v>
      </c>
      <c r="E1952" s="121">
        <v>22964</v>
      </c>
      <c r="F1952" s="120">
        <v>0</v>
      </c>
    </row>
    <row r="1953" spans="1:6" ht="24">
      <c r="A1953" s="190">
        <v>540806</v>
      </c>
      <c r="B1953" s="176" t="s">
        <v>2722</v>
      </c>
      <c r="C1953" s="169">
        <v>217615776</v>
      </c>
      <c r="D1953" s="178" t="s">
        <v>1600</v>
      </c>
      <c r="E1953" s="121">
        <v>36481</v>
      </c>
      <c r="F1953" s="120">
        <v>0</v>
      </c>
    </row>
    <row r="1954" spans="1:6" ht="24">
      <c r="A1954" s="190">
        <v>540806</v>
      </c>
      <c r="B1954" s="176" t="s">
        <v>2722</v>
      </c>
      <c r="C1954" s="169">
        <v>217815778</v>
      </c>
      <c r="D1954" s="178" t="s">
        <v>1601</v>
      </c>
      <c r="E1954" s="121">
        <v>30398</v>
      </c>
      <c r="F1954" s="120">
        <v>0</v>
      </c>
    </row>
    <row r="1955" spans="1:6" ht="24">
      <c r="A1955" s="190">
        <v>540806</v>
      </c>
      <c r="B1955" s="176" t="s">
        <v>2722</v>
      </c>
      <c r="C1955" s="169">
        <v>219015790</v>
      </c>
      <c r="D1955" s="178" t="s">
        <v>1602</v>
      </c>
      <c r="E1955" s="121">
        <v>43054</v>
      </c>
      <c r="F1955" s="120">
        <v>0</v>
      </c>
    </row>
    <row r="1956" spans="1:6" ht="24">
      <c r="A1956" s="190">
        <v>540806</v>
      </c>
      <c r="B1956" s="176" t="s">
        <v>2722</v>
      </c>
      <c r="C1956" s="169">
        <v>219815798</v>
      </c>
      <c r="D1956" s="178" t="s">
        <v>1603</v>
      </c>
      <c r="E1956" s="121">
        <v>28762</v>
      </c>
      <c r="F1956" s="120">
        <v>0</v>
      </c>
    </row>
    <row r="1957" spans="1:6" ht="24">
      <c r="A1957" s="190">
        <v>540806</v>
      </c>
      <c r="B1957" s="176" t="s">
        <v>2722</v>
      </c>
      <c r="C1957" s="169">
        <v>210415804</v>
      </c>
      <c r="D1957" s="178" t="s">
        <v>1604</v>
      </c>
      <c r="E1957" s="121">
        <v>64281</v>
      </c>
      <c r="F1957" s="120">
        <v>0</v>
      </c>
    </row>
    <row r="1958" spans="1:6" ht="24">
      <c r="A1958" s="190">
        <v>540806</v>
      </c>
      <c r="B1958" s="176" t="s">
        <v>2722</v>
      </c>
      <c r="C1958" s="169">
        <v>210615806</v>
      </c>
      <c r="D1958" s="178" t="s">
        <v>1605</v>
      </c>
      <c r="E1958" s="121">
        <v>80712</v>
      </c>
      <c r="F1958" s="120">
        <v>0</v>
      </c>
    </row>
    <row r="1959" spans="1:6" ht="24">
      <c r="A1959" s="190">
        <v>540806</v>
      </c>
      <c r="B1959" s="176" t="s">
        <v>2722</v>
      </c>
      <c r="C1959" s="169">
        <v>210815808</v>
      </c>
      <c r="D1959" s="178" t="s">
        <v>1606</v>
      </c>
      <c r="E1959" s="121">
        <v>16858</v>
      </c>
      <c r="F1959" s="120">
        <v>0</v>
      </c>
    </row>
    <row r="1960" spans="1:6" ht="24">
      <c r="A1960" s="190">
        <v>540806</v>
      </c>
      <c r="B1960" s="176" t="s">
        <v>2722</v>
      </c>
      <c r="C1960" s="169">
        <v>211015810</v>
      </c>
      <c r="D1960" s="178" t="s">
        <v>1607</v>
      </c>
      <c r="E1960" s="121">
        <v>27968</v>
      </c>
      <c r="F1960" s="120">
        <v>0</v>
      </c>
    </row>
    <row r="1961" spans="1:6" ht="24">
      <c r="A1961" s="190">
        <v>540806</v>
      </c>
      <c r="B1961" s="176" t="s">
        <v>2722</v>
      </c>
      <c r="C1961" s="169">
        <v>211415814</v>
      </c>
      <c r="D1961" s="178" t="s">
        <v>1608</v>
      </c>
      <c r="E1961" s="121">
        <v>70849</v>
      </c>
      <c r="F1961" s="120">
        <v>0</v>
      </c>
    </row>
    <row r="1962" spans="1:6" ht="24">
      <c r="A1962" s="190">
        <v>540806</v>
      </c>
      <c r="B1962" s="176" t="s">
        <v>2722</v>
      </c>
      <c r="C1962" s="169">
        <v>211615816</v>
      </c>
      <c r="D1962" s="178" t="s">
        <v>1609</v>
      </c>
      <c r="E1962" s="121">
        <v>38394</v>
      </c>
      <c r="F1962" s="120">
        <v>0</v>
      </c>
    </row>
    <row r="1963" spans="1:6" ht="24">
      <c r="A1963" s="190">
        <v>540806</v>
      </c>
      <c r="B1963" s="176" t="s">
        <v>2722</v>
      </c>
      <c r="C1963" s="169">
        <v>212015820</v>
      </c>
      <c r="D1963" s="178" t="s">
        <v>1610</v>
      </c>
      <c r="E1963" s="121">
        <v>29792</v>
      </c>
      <c r="F1963" s="120">
        <v>0</v>
      </c>
    </row>
    <row r="1964" spans="1:6" ht="24">
      <c r="A1964" s="190">
        <v>540806</v>
      </c>
      <c r="B1964" s="176" t="s">
        <v>2722</v>
      </c>
      <c r="C1964" s="169">
        <v>212215822</v>
      </c>
      <c r="D1964" s="178" t="s">
        <v>1611</v>
      </c>
      <c r="E1964" s="121">
        <v>41966</v>
      </c>
      <c r="F1964" s="120">
        <v>0</v>
      </c>
    </row>
    <row r="1965" spans="1:6" ht="24">
      <c r="A1965" s="190">
        <v>540806</v>
      </c>
      <c r="B1965" s="176" t="s">
        <v>2722</v>
      </c>
      <c r="C1965" s="169">
        <v>213215832</v>
      </c>
      <c r="D1965" s="178" t="s">
        <v>1612</v>
      </c>
      <c r="E1965" s="121">
        <v>13674</v>
      </c>
      <c r="F1965" s="120">
        <v>0</v>
      </c>
    </row>
    <row r="1966" spans="1:6" ht="24">
      <c r="A1966" s="190">
        <v>540806</v>
      </c>
      <c r="B1966" s="176" t="s">
        <v>2722</v>
      </c>
      <c r="C1966" s="169">
        <v>213515835</v>
      </c>
      <c r="D1966" s="178" t="s">
        <v>1613</v>
      </c>
      <c r="E1966" s="121">
        <v>55921</v>
      </c>
      <c r="F1966" s="120">
        <v>0</v>
      </c>
    </row>
    <row r="1967" spans="1:6" ht="24">
      <c r="A1967" s="190">
        <v>540806</v>
      </c>
      <c r="B1967" s="176" t="s">
        <v>2722</v>
      </c>
      <c r="C1967" s="169">
        <v>213715837</v>
      </c>
      <c r="D1967" s="178" t="s">
        <v>1614</v>
      </c>
      <c r="E1967" s="121">
        <v>69212</v>
      </c>
      <c r="F1967" s="120">
        <v>0</v>
      </c>
    </row>
    <row r="1968" spans="1:6" ht="24">
      <c r="A1968" s="190">
        <v>540806</v>
      </c>
      <c r="B1968" s="176" t="s">
        <v>2722</v>
      </c>
      <c r="C1968" s="169">
        <v>213915839</v>
      </c>
      <c r="D1968" s="178" t="s">
        <v>1615</v>
      </c>
      <c r="E1968" s="121">
        <v>18527</v>
      </c>
      <c r="F1968" s="120">
        <v>0</v>
      </c>
    </row>
    <row r="1969" spans="1:6" ht="24">
      <c r="A1969" s="190">
        <v>540806</v>
      </c>
      <c r="B1969" s="176" t="s">
        <v>2722</v>
      </c>
      <c r="C1969" s="169">
        <v>214215842</v>
      </c>
      <c r="D1969" s="178" t="s">
        <v>1616</v>
      </c>
      <c r="E1969" s="121">
        <v>64001</v>
      </c>
      <c r="F1969" s="120">
        <v>0</v>
      </c>
    </row>
    <row r="1970" spans="1:6" ht="24">
      <c r="A1970" s="190">
        <v>540806</v>
      </c>
      <c r="B1970" s="176" t="s">
        <v>2722</v>
      </c>
      <c r="C1970" s="169">
        <v>216115861</v>
      </c>
      <c r="D1970" s="178" t="s">
        <v>1617</v>
      </c>
      <c r="E1970" s="121">
        <v>109208</v>
      </c>
      <c r="F1970" s="120">
        <v>0</v>
      </c>
    </row>
    <row r="1971" spans="1:6" ht="24">
      <c r="A1971" s="190">
        <v>540806</v>
      </c>
      <c r="B1971" s="176" t="s">
        <v>2722</v>
      </c>
      <c r="C1971" s="169">
        <v>217915879</v>
      </c>
      <c r="D1971" s="178" t="s">
        <v>1618</v>
      </c>
      <c r="E1971" s="121">
        <v>23616</v>
      </c>
      <c r="F1971" s="120">
        <v>0</v>
      </c>
    </row>
    <row r="1972" spans="1:6" ht="24">
      <c r="A1972" s="190">
        <v>540806</v>
      </c>
      <c r="B1972" s="176" t="s">
        <v>2722</v>
      </c>
      <c r="C1972" s="169">
        <v>219715897</v>
      </c>
      <c r="D1972" s="178" t="s">
        <v>1619</v>
      </c>
      <c r="E1972" s="121">
        <v>49808</v>
      </c>
      <c r="F1972" s="120">
        <v>0</v>
      </c>
    </row>
    <row r="1973" spans="1:6" ht="24">
      <c r="A1973" s="190">
        <v>540806</v>
      </c>
      <c r="B1973" s="176" t="s">
        <v>2722</v>
      </c>
      <c r="C1973" s="169" t="s">
        <v>1620</v>
      </c>
      <c r="D1973" s="178" t="s">
        <v>1621</v>
      </c>
      <c r="E1973" s="121">
        <v>181540</v>
      </c>
      <c r="F1973" s="120">
        <v>0</v>
      </c>
    </row>
    <row r="1974" spans="1:6" ht="24">
      <c r="A1974" s="190">
        <v>540806</v>
      </c>
      <c r="B1974" s="176" t="s">
        <v>2722</v>
      </c>
      <c r="C1974" s="169">
        <v>214217042</v>
      </c>
      <c r="D1974" s="178" t="s">
        <v>1622</v>
      </c>
      <c r="E1974" s="121">
        <v>259185</v>
      </c>
      <c r="F1974" s="120">
        <v>0</v>
      </c>
    </row>
    <row r="1975" spans="1:6" ht="24">
      <c r="A1975" s="190">
        <v>540806</v>
      </c>
      <c r="B1975" s="176" t="s">
        <v>2722</v>
      </c>
      <c r="C1975" s="169">
        <v>215017050</v>
      </c>
      <c r="D1975" s="178" t="s">
        <v>1623</v>
      </c>
      <c r="E1975" s="121">
        <v>96064</v>
      </c>
      <c r="F1975" s="120">
        <v>0</v>
      </c>
    </row>
    <row r="1976" spans="1:6" ht="24">
      <c r="A1976" s="190">
        <v>540806</v>
      </c>
      <c r="B1976" s="176" t="s">
        <v>2722</v>
      </c>
      <c r="C1976" s="169">
        <v>218817088</v>
      </c>
      <c r="D1976" s="178" t="s">
        <v>1624</v>
      </c>
      <c r="E1976" s="121">
        <v>81324</v>
      </c>
      <c r="F1976" s="120">
        <v>0</v>
      </c>
    </row>
    <row r="1977" spans="1:6" ht="24">
      <c r="A1977" s="190">
        <v>540806</v>
      </c>
      <c r="B1977" s="176" t="s">
        <v>2722</v>
      </c>
      <c r="C1977" s="169">
        <v>217417174</v>
      </c>
      <c r="D1977" s="178" t="s">
        <v>1625</v>
      </c>
      <c r="E1977" s="121">
        <v>341412</v>
      </c>
      <c r="F1977" s="120">
        <v>0</v>
      </c>
    </row>
    <row r="1978" spans="1:6" ht="24">
      <c r="A1978" s="190">
        <v>540806</v>
      </c>
      <c r="B1978" s="176" t="s">
        <v>2722</v>
      </c>
      <c r="C1978" s="169">
        <v>217217272</v>
      </c>
      <c r="D1978" s="178" t="s">
        <v>1626</v>
      </c>
      <c r="E1978" s="121">
        <v>79414</v>
      </c>
      <c r="F1978" s="120">
        <v>0</v>
      </c>
    </row>
    <row r="1979" spans="1:6" ht="24">
      <c r="A1979" s="190">
        <v>540806</v>
      </c>
      <c r="B1979" s="176" t="s">
        <v>2722</v>
      </c>
      <c r="C1979" s="169">
        <v>218017380</v>
      </c>
      <c r="D1979" s="178" t="s">
        <v>1627</v>
      </c>
      <c r="E1979" s="121">
        <v>486953</v>
      </c>
      <c r="F1979" s="120">
        <v>0</v>
      </c>
    </row>
    <row r="1980" spans="1:6" ht="24">
      <c r="A1980" s="190">
        <v>540806</v>
      </c>
      <c r="B1980" s="176" t="s">
        <v>2722</v>
      </c>
      <c r="C1980" s="169">
        <v>218817388</v>
      </c>
      <c r="D1980" s="178" t="s">
        <v>1628</v>
      </c>
      <c r="E1980" s="121">
        <v>56800</v>
      </c>
      <c r="F1980" s="120">
        <v>0</v>
      </c>
    </row>
    <row r="1981" spans="1:6" ht="24">
      <c r="A1981" s="190">
        <v>540806</v>
      </c>
      <c r="B1981" s="176" t="s">
        <v>2722</v>
      </c>
      <c r="C1981" s="169">
        <v>213317433</v>
      </c>
      <c r="D1981" s="178" t="s">
        <v>1629</v>
      </c>
      <c r="E1981" s="121">
        <v>137183</v>
      </c>
      <c r="F1981" s="120">
        <v>0</v>
      </c>
    </row>
    <row r="1982" spans="1:6" ht="24">
      <c r="A1982" s="190">
        <v>540806</v>
      </c>
      <c r="B1982" s="176" t="s">
        <v>2722</v>
      </c>
      <c r="C1982" s="169">
        <v>214217442</v>
      </c>
      <c r="D1982" s="178" t="s">
        <v>1630</v>
      </c>
      <c r="E1982" s="121">
        <v>72119</v>
      </c>
      <c r="F1982" s="120">
        <v>0</v>
      </c>
    </row>
    <row r="1983" spans="1:6" ht="24">
      <c r="A1983" s="190">
        <v>540806</v>
      </c>
      <c r="B1983" s="176" t="s">
        <v>2722</v>
      </c>
      <c r="C1983" s="169">
        <v>214417444</v>
      </c>
      <c r="D1983" s="178" t="s">
        <v>1631</v>
      </c>
      <c r="E1983" s="121">
        <v>106180</v>
      </c>
      <c r="F1983" s="120">
        <v>0</v>
      </c>
    </row>
    <row r="1984" spans="1:6" ht="24">
      <c r="A1984" s="190">
        <v>540806</v>
      </c>
      <c r="B1984" s="176" t="s">
        <v>2722</v>
      </c>
      <c r="C1984" s="169">
        <v>214617446</v>
      </c>
      <c r="D1984" s="178" t="s">
        <v>1632</v>
      </c>
      <c r="E1984" s="121">
        <v>18983</v>
      </c>
      <c r="F1984" s="120">
        <v>0</v>
      </c>
    </row>
    <row r="1985" spans="1:6" ht="24">
      <c r="A1985" s="190">
        <v>540806</v>
      </c>
      <c r="B1985" s="176" t="s">
        <v>2722</v>
      </c>
      <c r="C1985" s="169">
        <v>218617486</v>
      </c>
      <c r="D1985" s="178" t="s">
        <v>1633</v>
      </c>
      <c r="E1985" s="121">
        <v>169029</v>
      </c>
      <c r="F1985" s="120">
        <v>0</v>
      </c>
    </row>
    <row r="1986" spans="1:6" ht="24">
      <c r="A1986" s="190">
        <v>540806</v>
      </c>
      <c r="B1986" s="176" t="s">
        <v>2722</v>
      </c>
      <c r="C1986" s="169">
        <v>219517495</v>
      </c>
      <c r="D1986" s="178" t="s">
        <v>1634</v>
      </c>
      <c r="E1986" s="121">
        <v>55021</v>
      </c>
      <c r="F1986" s="120">
        <v>0</v>
      </c>
    </row>
    <row r="1987" spans="1:6" ht="24">
      <c r="A1987" s="190">
        <v>540806</v>
      </c>
      <c r="B1987" s="176" t="s">
        <v>2722</v>
      </c>
      <c r="C1987" s="169">
        <v>211317513</v>
      </c>
      <c r="D1987" s="178" t="s">
        <v>1635</v>
      </c>
      <c r="E1987" s="121">
        <v>112565</v>
      </c>
      <c r="F1987" s="120">
        <v>0</v>
      </c>
    </row>
    <row r="1988" spans="1:6" ht="24">
      <c r="A1988" s="190">
        <v>540806</v>
      </c>
      <c r="B1988" s="176" t="s">
        <v>2722</v>
      </c>
      <c r="C1988" s="169">
        <v>212417524</v>
      </c>
      <c r="D1988" s="178" t="s">
        <v>1636</v>
      </c>
      <c r="E1988" s="121">
        <v>126616</v>
      </c>
      <c r="F1988" s="120">
        <v>0</v>
      </c>
    </row>
    <row r="1989" spans="1:6" ht="24">
      <c r="A1989" s="190">
        <v>540806</v>
      </c>
      <c r="B1989" s="176" t="s">
        <v>2722</v>
      </c>
      <c r="C1989" s="169">
        <v>214117541</v>
      </c>
      <c r="D1989" s="178" t="s">
        <v>1637</v>
      </c>
      <c r="E1989" s="121">
        <v>179509</v>
      </c>
      <c r="F1989" s="120">
        <v>0</v>
      </c>
    </row>
    <row r="1990" spans="1:6" ht="24">
      <c r="A1990" s="190">
        <v>540806</v>
      </c>
      <c r="B1990" s="176" t="s">
        <v>2722</v>
      </c>
      <c r="C1990" s="169">
        <v>211527615</v>
      </c>
      <c r="D1990" s="178" t="s">
        <v>1638</v>
      </c>
      <c r="E1990" s="121">
        <v>394956</v>
      </c>
      <c r="F1990" s="120">
        <v>0</v>
      </c>
    </row>
    <row r="1991" spans="1:6" ht="24">
      <c r="A1991" s="190">
        <v>540806</v>
      </c>
      <c r="B1991" s="176" t="s">
        <v>2722</v>
      </c>
      <c r="C1991" s="169">
        <v>211617616</v>
      </c>
      <c r="D1991" s="178" t="s">
        <v>1009</v>
      </c>
      <c r="E1991" s="121">
        <v>73397</v>
      </c>
      <c r="F1991" s="120">
        <v>0</v>
      </c>
    </row>
    <row r="1992" spans="1:6" ht="24">
      <c r="A1992" s="190">
        <v>540806</v>
      </c>
      <c r="B1992" s="176" t="s">
        <v>2722</v>
      </c>
      <c r="C1992" s="169">
        <v>215317653</v>
      </c>
      <c r="D1992" s="178" t="s">
        <v>1639</v>
      </c>
      <c r="E1992" s="121">
        <v>138147</v>
      </c>
      <c r="F1992" s="120">
        <v>0</v>
      </c>
    </row>
    <row r="1993" spans="1:6" ht="24">
      <c r="A1993" s="190">
        <v>540806</v>
      </c>
      <c r="B1993" s="176" t="s">
        <v>2722</v>
      </c>
      <c r="C1993" s="169">
        <v>216217662</v>
      </c>
      <c r="D1993" s="178" t="s">
        <v>1640</v>
      </c>
      <c r="E1993" s="121">
        <v>178979</v>
      </c>
      <c r="F1993" s="120">
        <v>0</v>
      </c>
    </row>
    <row r="1994" spans="1:6" ht="24">
      <c r="A1994" s="190">
        <v>540806</v>
      </c>
      <c r="B1994" s="176" t="s">
        <v>2722</v>
      </c>
      <c r="C1994" s="169">
        <v>216517665</v>
      </c>
      <c r="D1994" s="178" t="s">
        <v>1641</v>
      </c>
      <c r="E1994" s="121">
        <v>42296</v>
      </c>
      <c r="F1994" s="120">
        <v>0</v>
      </c>
    </row>
    <row r="1995" spans="1:6" ht="24">
      <c r="A1995" s="190">
        <v>540806</v>
      </c>
      <c r="B1995" s="176" t="s">
        <v>2722</v>
      </c>
      <c r="C1995" s="169">
        <v>217717777</v>
      </c>
      <c r="D1995" s="178" t="s">
        <v>1642</v>
      </c>
      <c r="E1995" s="121">
        <v>189164</v>
      </c>
      <c r="F1995" s="120">
        <v>0</v>
      </c>
    </row>
    <row r="1996" spans="1:6" ht="24">
      <c r="A1996" s="190">
        <v>540806</v>
      </c>
      <c r="B1996" s="176" t="s">
        <v>2722</v>
      </c>
      <c r="C1996" s="169">
        <v>216717867</v>
      </c>
      <c r="D1996" s="178" t="s">
        <v>1643</v>
      </c>
      <c r="E1996" s="121">
        <v>67913</v>
      </c>
      <c r="F1996" s="120">
        <v>0</v>
      </c>
    </row>
    <row r="1997" spans="1:6" ht="24">
      <c r="A1997" s="190">
        <v>540806</v>
      </c>
      <c r="B1997" s="176" t="s">
        <v>2722</v>
      </c>
      <c r="C1997" s="169">
        <v>217317873</v>
      </c>
      <c r="D1997" s="178" t="s">
        <v>1644</v>
      </c>
      <c r="E1997" s="121">
        <v>270044</v>
      </c>
      <c r="F1997" s="120">
        <v>0</v>
      </c>
    </row>
    <row r="1998" spans="1:6" ht="24">
      <c r="A1998" s="190">
        <v>540806</v>
      </c>
      <c r="B1998" s="176" t="s">
        <v>2722</v>
      </c>
      <c r="C1998" s="169">
        <v>217717877</v>
      </c>
      <c r="D1998" s="178" t="s">
        <v>1645</v>
      </c>
      <c r="E1998" s="121">
        <v>114381</v>
      </c>
      <c r="F1998" s="120">
        <v>0</v>
      </c>
    </row>
    <row r="1999" spans="1:6" ht="24">
      <c r="A1999" s="190">
        <v>540806</v>
      </c>
      <c r="B1999" s="176" t="s">
        <v>2722</v>
      </c>
      <c r="C1999" s="169">
        <v>212918029</v>
      </c>
      <c r="D1999" s="178" t="s">
        <v>1646</v>
      </c>
      <c r="E1999" s="121">
        <v>57130</v>
      </c>
      <c r="F1999" s="120">
        <v>0</v>
      </c>
    </row>
    <row r="2000" spans="1:6" ht="24">
      <c r="A2000" s="190">
        <v>540806</v>
      </c>
      <c r="B2000" s="176" t="s">
        <v>2722</v>
      </c>
      <c r="C2000" s="169">
        <v>219418094</v>
      </c>
      <c r="D2000" s="178" t="s">
        <v>1647</v>
      </c>
      <c r="E2000" s="121">
        <v>104795</v>
      </c>
      <c r="F2000" s="120">
        <v>0</v>
      </c>
    </row>
    <row r="2001" spans="1:6" ht="24">
      <c r="A2001" s="190">
        <v>540806</v>
      </c>
      <c r="B2001" s="176" t="s">
        <v>2722</v>
      </c>
      <c r="C2001" s="169">
        <v>215018150</v>
      </c>
      <c r="D2001" s="178" t="s">
        <v>1648</v>
      </c>
      <c r="E2001" s="121">
        <v>285455</v>
      </c>
      <c r="F2001" s="120">
        <v>0</v>
      </c>
    </row>
    <row r="2002" spans="1:6" ht="24">
      <c r="A2002" s="190">
        <v>540806</v>
      </c>
      <c r="B2002" s="176" t="s">
        <v>2722</v>
      </c>
      <c r="C2002" s="169" t="s">
        <v>1649</v>
      </c>
      <c r="D2002" s="178" t="s">
        <v>1650</v>
      </c>
      <c r="E2002" s="121">
        <v>108135</v>
      </c>
      <c r="F2002" s="120">
        <v>0</v>
      </c>
    </row>
    <row r="2003" spans="1:6" ht="24">
      <c r="A2003" s="190">
        <v>540806</v>
      </c>
      <c r="B2003" s="176" t="s">
        <v>2722</v>
      </c>
      <c r="C2003" s="169" t="s">
        <v>1651</v>
      </c>
      <c r="D2003" s="178" t="s">
        <v>1652</v>
      </c>
      <c r="E2003" s="121">
        <v>187051</v>
      </c>
      <c r="F2003" s="120">
        <v>0</v>
      </c>
    </row>
    <row r="2004" spans="1:6" ht="24">
      <c r="A2004" s="190">
        <v>540806</v>
      </c>
      <c r="B2004" s="176" t="s">
        <v>2722</v>
      </c>
      <c r="C2004" s="169" t="s">
        <v>1653</v>
      </c>
      <c r="D2004" s="178" t="s">
        <v>1654</v>
      </c>
      <c r="E2004" s="121">
        <v>118784</v>
      </c>
      <c r="F2004" s="120">
        <v>0</v>
      </c>
    </row>
    <row r="2005" spans="1:6" ht="24">
      <c r="A2005" s="190">
        <v>540806</v>
      </c>
      <c r="B2005" s="176" t="s">
        <v>2722</v>
      </c>
      <c r="C2005" s="169" t="s">
        <v>1655</v>
      </c>
      <c r="D2005" s="178" t="s">
        <v>1656</v>
      </c>
      <c r="E2005" s="121">
        <v>163536</v>
      </c>
      <c r="F2005" s="120">
        <v>0</v>
      </c>
    </row>
    <row r="2006" spans="1:6" ht="24">
      <c r="A2006" s="190">
        <v>540806</v>
      </c>
      <c r="B2006" s="176" t="s">
        <v>2722</v>
      </c>
      <c r="C2006" s="169" t="s">
        <v>1657</v>
      </c>
      <c r="D2006" s="178" t="s">
        <v>1658</v>
      </c>
      <c r="E2006" s="121">
        <v>151101</v>
      </c>
      <c r="F2006" s="120">
        <v>0</v>
      </c>
    </row>
    <row r="2007" spans="1:6" ht="24">
      <c r="A2007" s="190">
        <v>540806</v>
      </c>
      <c r="B2007" s="176" t="s">
        <v>2722</v>
      </c>
      <c r="C2007" s="169" t="s">
        <v>1659</v>
      </c>
      <c r="D2007" s="178" t="s">
        <v>1660</v>
      </c>
      <c r="E2007" s="121">
        <v>31822</v>
      </c>
      <c r="F2007" s="120">
        <v>0</v>
      </c>
    </row>
    <row r="2008" spans="1:6" ht="24">
      <c r="A2008" s="190">
        <v>540806</v>
      </c>
      <c r="B2008" s="176" t="s">
        <v>2722</v>
      </c>
      <c r="C2008" s="169" t="s">
        <v>1661</v>
      </c>
      <c r="D2008" s="178" t="s">
        <v>1662</v>
      </c>
      <c r="E2008" s="121">
        <v>369583</v>
      </c>
      <c r="F2008" s="120">
        <v>0</v>
      </c>
    </row>
    <row r="2009" spans="1:6" ht="24">
      <c r="A2009" s="190">
        <v>540806</v>
      </c>
      <c r="B2009" s="176" t="s">
        <v>2722</v>
      </c>
      <c r="C2009" s="169">
        <v>211018610</v>
      </c>
      <c r="D2009" s="178" t="s">
        <v>1663</v>
      </c>
      <c r="E2009" s="121">
        <v>132094</v>
      </c>
      <c r="F2009" s="120">
        <v>0</v>
      </c>
    </row>
    <row r="2010" spans="1:6" ht="24">
      <c r="A2010" s="190">
        <v>540806</v>
      </c>
      <c r="B2010" s="176" t="s">
        <v>2722</v>
      </c>
      <c r="C2010" s="169">
        <v>215318753</v>
      </c>
      <c r="D2010" s="178" t="s">
        <v>1664</v>
      </c>
      <c r="E2010" s="121">
        <v>561419</v>
      </c>
      <c r="F2010" s="120">
        <v>0</v>
      </c>
    </row>
    <row r="2011" spans="1:6" ht="24">
      <c r="A2011" s="190">
        <v>540806</v>
      </c>
      <c r="B2011" s="176" t="s">
        <v>2722</v>
      </c>
      <c r="C2011" s="169">
        <v>215618756</v>
      </c>
      <c r="D2011" s="178" t="s">
        <v>1665</v>
      </c>
      <c r="E2011" s="121">
        <v>122942</v>
      </c>
      <c r="F2011" s="120">
        <v>0</v>
      </c>
    </row>
    <row r="2012" spans="1:6" ht="24">
      <c r="A2012" s="190">
        <v>540806</v>
      </c>
      <c r="B2012" s="176" t="s">
        <v>2722</v>
      </c>
      <c r="C2012" s="169">
        <v>218518785</v>
      </c>
      <c r="D2012" s="178" t="s">
        <v>1666</v>
      </c>
      <c r="E2012" s="121">
        <v>81781</v>
      </c>
      <c r="F2012" s="120">
        <v>0</v>
      </c>
    </row>
    <row r="2013" spans="1:6" ht="24">
      <c r="A2013" s="190">
        <v>540806</v>
      </c>
      <c r="B2013" s="176" t="s">
        <v>2722</v>
      </c>
      <c r="C2013" s="169">
        <v>216018860</v>
      </c>
      <c r="D2013" s="178" t="s">
        <v>1298</v>
      </c>
      <c r="E2013" s="121">
        <v>95263</v>
      </c>
      <c r="F2013" s="120">
        <v>0</v>
      </c>
    </row>
    <row r="2014" spans="1:6" ht="24">
      <c r="A2014" s="190">
        <v>540806</v>
      </c>
      <c r="B2014" s="176" t="s">
        <v>2722</v>
      </c>
      <c r="C2014" s="169" t="s">
        <v>1667</v>
      </c>
      <c r="D2014" s="178" t="s">
        <v>1668</v>
      </c>
      <c r="E2014" s="121">
        <v>138480</v>
      </c>
      <c r="F2014" s="120">
        <v>0</v>
      </c>
    </row>
    <row r="2015" spans="1:6" ht="24">
      <c r="A2015" s="190">
        <v>540806</v>
      </c>
      <c r="B2015" s="176" t="s">
        <v>2722</v>
      </c>
      <c r="C2015" s="169" t="s">
        <v>1669</v>
      </c>
      <c r="D2015" s="178" t="s">
        <v>1114</v>
      </c>
      <c r="E2015" s="121">
        <v>195194</v>
      </c>
      <c r="F2015" s="120">
        <v>0</v>
      </c>
    </row>
    <row r="2016" spans="1:6" ht="24">
      <c r="A2016" s="190">
        <v>540806</v>
      </c>
      <c r="B2016" s="176" t="s">
        <v>2722</v>
      </c>
      <c r="C2016" s="169" t="s">
        <v>1670</v>
      </c>
      <c r="D2016" s="178" t="s">
        <v>1671</v>
      </c>
      <c r="E2016" s="121">
        <v>141072</v>
      </c>
      <c r="F2016" s="120">
        <v>0</v>
      </c>
    </row>
    <row r="2017" spans="1:6" ht="24">
      <c r="A2017" s="190">
        <v>540806</v>
      </c>
      <c r="B2017" s="176" t="s">
        <v>2722</v>
      </c>
      <c r="C2017" s="169" t="s">
        <v>1672</v>
      </c>
      <c r="D2017" s="178" t="s">
        <v>994</v>
      </c>
      <c r="E2017" s="121">
        <v>319060</v>
      </c>
      <c r="F2017" s="120">
        <v>0</v>
      </c>
    </row>
    <row r="2018" spans="1:6" ht="24">
      <c r="A2018" s="190">
        <v>540806</v>
      </c>
      <c r="B2018" s="176" t="s">
        <v>2722</v>
      </c>
      <c r="C2018" s="169" t="s">
        <v>1673</v>
      </c>
      <c r="D2018" s="178" t="s">
        <v>1674</v>
      </c>
      <c r="E2018" s="121">
        <v>194227</v>
      </c>
      <c r="F2018" s="120">
        <v>0</v>
      </c>
    </row>
    <row r="2019" spans="1:6" ht="24">
      <c r="A2019" s="190">
        <v>540806</v>
      </c>
      <c r="B2019" s="176" t="s">
        <v>2722</v>
      </c>
      <c r="C2019" s="169" t="s">
        <v>1675</v>
      </c>
      <c r="D2019" s="178" t="s">
        <v>1676</v>
      </c>
      <c r="E2019" s="121">
        <v>244339</v>
      </c>
      <c r="F2019" s="120">
        <v>0</v>
      </c>
    </row>
    <row r="2020" spans="1:6" ht="24">
      <c r="A2020" s="190">
        <v>540806</v>
      </c>
      <c r="B2020" s="176" t="s">
        <v>2722</v>
      </c>
      <c r="C2020" s="169">
        <v>213719137</v>
      </c>
      <c r="D2020" s="178" t="s">
        <v>1677</v>
      </c>
      <c r="E2020" s="121">
        <v>307485</v>
      </c>
      <c r="F2020" s="120">
        <v>0</v>
      </c>
    </row>
    <row r="2021" spans="1:6" ht="24">
      <c r="A2021" s="190">
        <v>540806</v>
      </c>
      <c r="B2021" s="176" t="s">
        <v>2722</v>
      </c>
      <c r="C2021" s="169">
        <v>214219142</v>
      </c>
      <c r="D2021" s="178" t="s">
        <v>1678</v>
      </c>
      <c r="E2021" s="121">
        <v>297394</v>
      </c>
      <c r="F2021" s="120">
        <v>0</v>
      </c>
    </row>
    <row r="2022" spans="1:6" ht="24">
      <c r="A2022" s="190">
        <v>540806</v>
      </c>
      <c r="B2022" s="176" t="s">
        <v>2722</v>
      </c>
      <c r="C2022" s="169">
        <v>211219212</v>
      </c>
      <c r="D2022" s="178" t="s">
        <v>1679</v>
      </c>
      <c r="E2022" s="121">
        <v>205588</v>
      </c>
      <c r="F2022" s="120">
        <v>0</v>
      </c>
    </row>
    <row r="2023" spans="1:6" ht="24">
      <c r="A2023" s="190">
        <v>540806</v>
      </c>
      <c r="B2023" s="176" t="s">
        <v>2722</v>
      </c>
      <c r="C2023" s="169">
        <v>215619256</v>
      </c>
      <c r="D2023" s="178" t="s">
        <v>1680</v>
      </c>
      <c r="E2023" s="121">
        <v>343420</v>
      </c>
      <c r="F2023" s="120">
        <v>0</v>
      </c>
    </row>
    <row r="2024" spans="1:6" ht="24">
      <c r="A2024" s="190">
        <v>540806</v>
      </c>
      <c r="B2024" s="176" t="s">
        <v>2722</v>
      </c>
      <c r="C2024" s="169">
        <v>219019290</v>
      </c>
      <c r="D2024" s="178" t="s">
        <v>1047</v>
      </c>
      <c r="E2024" s="121">
        <v>37634</v>
      </c>
      <c r="F2024" s="120">
        <v>0</v>
      </c>
    </row>
    <row r="2025" spans="1:6" ht="24">
      <c r="A2025" s="190">
        <v>540806</v>
      </c>
      <c r="B2025" s="176" t="s">
        <v>2722</v>
      </c>
      <c r="C2025" s="169">
        <v>211819318</v>
      </c>
      <c r="D2025" s="178" t="s">
        <v>1681</v>
      </c>
      <c r="E2025" s="121">
        <v>396306</v>
      </c>
      <c r="F2025" s="120">
        <v>0</v>
      </c>
    </row>
    <row r="2026" spans="1:6" ht="24">
      <c r="A2026" s="190">
        <v>540806</v>
      </c>
      <c r="B2026" s="176" t="s">
        <v>2722</v>
      </c>
      <c r="C2026" s="169">
        <v>215519355</v>
      </c>
      <c r="D2026" s="178" t="s">
        <v>1682</v>
      </c>
      <c r="E2026" s="121">
        <v>265773</v>
      </c>
      <c r="F2026" s="120">
        <v>0</v>
      </c>
    </row>
    <row r="2027" spans="1:6" ht="24">
      <c r="A2027" s="190">
        <v>540806</v>
      </c>
      <c r="B2027" s="176" t="s">
        <v>2722</v>
      </c>
      <c r="C2027" s="169">
        <v>216419364</v>
      </c>
      <c r="D2027" s="178" t="s">
        <v>1683</v>
      </c>
      <c r="E2027" s="121">
        <v>172491</v>
      </c>
      <c r="F2027" s="120">
        <v>0</v>
      </c>
    </row>
    <row r="2028" spans="1:6" ht="24">
      <c r="A2028" s="190">
        <v>540806</v>
      </c>
      <c r="B2028" s="176" t="s">
        <v>2722</v>
      </c>
      <c r="C2028" s="169">
        <v>219219392</v>
      </c>
      <c r="D2028" s="178" t="s">
        <v>1684</v>
      </c>
      <c r="E2028" s="121">
        <v>90878</v>
      </c>
      <c r="F2028" s="120">
        <v>0</v>
      </c>
    </row>
    <row r="2029" spans="1:6" ht="24">
      <c r="A2029" s="190">
        <v>540806</v>
      </c>
      <c r="B2029" s="176" t="s">
        <v>2722</v>
      </c>
      <c r="C2029" s="169">
        <v>219719397</v>
      </c>
      <c r="D2029" s="178" t="s">
        <v>1685</v>
      </c>
      <c r="E2029" s="121">
        <v>195792</v>
      </c>
      <c r="F2029" s="120">
        <v>0</v>
      </c>
    </row>
    <row r="2030" spans="1:6" ht="24">
      <c r="A2030" s="190">
        <v>540806</v>
      </c>
      <c r="B2030" s="176" t="s">
        <v>2722</v>
      </c>
      <c r="C2030" s="169">
        <v>211819418</v>
      </c>
      <c r="D2030" s="178" t="s">
        <v>1686</v>
      </c>
      <c r="E2030" s="121">
        <v>277624</v>
      </c>
      <c r="F2030" s="120">
        <v>0</v>
      </c>
    </row>
    <row r="2031" spans="1:6" ht="24">
      <c r="A2031" s="190">
        <v>540806</v>
      </c>
      <c r="B2031" s="176" t="s">
        <v>2722</v>
      </c>
      <c r="C2031" s="169">
        <v>215019450</v>
      </c>
      <c r="D2031" s="178" t="s">
        <v>1687</v>
      </c>
      <c r="E2031" s="121">
        <v>125153</v>
      </c>
      <c r="F2031" s="120">
        <v>0</v>
      </c>
    </row>
    <row r="2032" spans="1:6" ht="24">
      <c r="A2032" s="190">
        <v>540806</v>
      </c>
      <c r="B2032" s="176" t="s">
        <v>2722</v>
      </c>
      <c r="C2032" s="169">
        <v>215519455</v>
      </c>
      <c r="D2032" s="178" t="s">
        <v>1688</v>
      </c>
      <c r="E2032" s="121">
        <v>200039</v>
      </c>
      <c r="F2032" s="120">
        <v>0</v>
      </c>
    </row>
    <row r="2033" spans="1:6" ht="24">
      <c r="A2033" s="190">
        <v>540806</v>
      </c>
      <c r="B2033" s="176" t="s">
        <v>2722</v>
      </c>
      <c r="C2033" s="169">
        <v>217319473</v>
      </c>
      <c r="D2033" s="178" t="s">
        <v>1391</v>
      </c>
      <c r="E2033" s="121">
        <v>250066</v>
      </c>
      <c r="F2033" s="120">
        <v>0</v>
      </c>
    </row>
    <row r="2034" spans="1:6" ht="24">
      <c r="A2034" s="190">
        <v>540806</v>
      </c>
      <c r="B2034" s="176" t="s">
        <v>2722</v>
      </c>
      <c r="C2034" s="169">
        <v>211319513</v>
      </c>
      <c r="D2034" s="178" t="s">
        <v>1689</v>
      </c>
      <c r="E2034" s="121">
        <v>73968</v>
      </c>
      <c r="F2034" s="120">
        <v>0</v>
      </c>
    </row>
    <row r="2035" spans="1:6" ht="24">
      <c r="A2035" s="190">
        <v>540806</v>
      </c>
      <c r="B2035" s="176" t="s">
        <v>2722</v>
      </c>
      <c r="C2035" s="169">
        <v>211719517</v>
      </c>
      <c r="D2035" s="178" t="s">
        <v>1545</v>
      </c>
      <c r="E2035" s="121">
        <v>368166</v>
      </c>
      <c r="F2035" s="120">
        <v>0</v>
      </c>
    </row>
    <row r="2036" spans="1:6" ht="24">
      <c r="A2036" s="190">
        <v>540806</v>
      </c>
      <c r="B2036" s="176" t="s">
        <v>2722</v>
      </c>
      <c r="C2036" s="169">
        <v>213219532</v>
      </c>
      <c r="D2036" s="178" t="s">
        <v>1690</v>
      </c>
      <c r="E2036" s="121">
        <v>254498</v>
      </c>
      <c r="F2036" s="120">
        <v>0</v>
      </c>
    </row>
    <row r="2037" spans="1:6" ht="24">
      <c r="A2037" s="190">
        <v>540806</v>
      </c>
      <c r="B2037" s="176" t="s">
        <v>2722</v>
      </c>
      <c r="C2037" s="169">
        <v>213319533</v>
      </c>
      <c r="D2037" s="178" t="s">
        <v>1691</v>
      </c>
      <c r="E2037" s="121">
        <v>75527</v>
      </c>
      <c r="F2037" s="120">
        <v>0</v>
      </c>
    </row>
    <row r="2038" spans="1:6" ht="24">
      <c r="A2038" s="190">
        <v>540806</v>
      </c>
      <c r="B2038" s="176" t="s">
        <v>2722</v>
      </c>
      <c r="C2038" s="169">
        <v>214819548</v>
      </c>
      <c r="D2038" s="178" t="s">
        <v>1692</v>
      </c>
      <c r="E2038" s="121">
        <v>247007</v>
      </c>
      <c r="F2038" s="120">
        <v>0</v>
      </c>
    </row>
    <row r="2039" spans="1:6" ht="24">
      <c r="A2039" s="190">
        <v>540806</v>
      </c>
      <c r="B2039" s="176" t="s">
        <v>2722</v>
      </c>
      <c r="C2039" s="169">
        <v>217319573</v>
      </c>
      <c r="D2039" s="178" t="s">
        <v>1693</v>
      </c>
      <c r="E2039" s="121">
        <v>325343</v>
      </c>
      <c r="F2039" s="120">
        <v>0</v>
      </c>
    </row>
    <row r="2040" spans="1:6" ht="24">
      <c r="A2040" s="190">
        <v>540806</v>
      </c>
      <c r="B2040" s="176" t="s">
        <v>2722</v>
      </c>
      <c r="C2040" s="169">
        <v>218519585</v>
      </c>
      <c r="D2040" s="178" t="s">
        <v>1694</v>
      </c>
      <c r="E2040" s="121">
        <v>145994</v>
      </c>
      <c r="F2040" s="120">
        <v>0</v>
      </c>
    </row>
    <row r="2041" spans="1:6" ht="24">
      <c r="A2041" s="190">
        <v>540806</v>
      </c>
      <c r="B2041" s="176" t="s">
        <v>2722</v>
      </c>
      <c r="C2041" s="169">
        <v>212219622</v>
      </c>
      <c r="D2041" s="178" t="s">
        <v>1695</v>
      </c>
      <c r="E2041" s="121">
        <v>74500</v>
      </c>
      <c r="F2041" s="120">
        <v>0</v>
      </c>
    </row>
    <row r="2042" spans="1:6" ht="24">
      <c r="A2042" s="190">
        <v>540806</v>
      </c>
      <c r="B2042" s="176" t="s">
        <v>2722</v>
      </c>
      <c r="C2042" s="169">
        <v>219319693</v>
      </c>
      <c r="D2042" s="178" t="s">
        <v>1696</v>
      </c>
      <c r="E2042" s="121">
        <v>81520</v>
      </c>
      <c r="F2042" s="120">
        <v>0</v>
      </c>
    </row>
    <row r="2043" spans="1:6" ht="24">
      <c r="A2043" s="190">
        <v>540806</v>
      </c>
      <c r="B2043" s="176" t="s">
        <v>2722</v>
      </c>
      <c r="C2043" s="169">
        <v>219819698</v>
      </c>
      <c r="D2043" s="178" t="s">
        <v>1697</v>
      </c>
      <c r="E2043" s="121">
        <v>567838</v>
      </c>
      <c r="F2043" s="120">
        <v>0</v>
      </c>
    </row>
    <row r="2044" spans="1:6" ht="24">
      <c r="A2044" s="190">
        <v>540806</v>
      </c>
      <c r="B2044" s="176" t="s">
        <v>2722</v>
      </c>
      <c r="C2044" s="169">
        <v>210119701</v>
      </c>
      <c r="D2044" s="178" t="s">
        <v>1412</v>
      </c>
      <c r="E2044" s="121">
        <v>65738</v>
      </c>
      <c r="F2044" s="120">
        <v>0</v>
      </c>
    </row>
    <row r="2045" spans="1:6" ht="24">
      <c r="A2045" s="190">
        <v>540806</v>
      </c>
      <c r="B2045" s="176" t="s">
        <v>2722</v>
      </c>
      <c r="C2045" s="169">
        <v>214319743</v>
      </c>
      <c r="D2045" s="178" t="s">
        <v>1698</v>
      </c>
      <c r="E2045" s="121">
        <v>333295</v>
      </c>
      <c r="F2045" s="120">
        <v>0</v>
      </c>
    </row>
    <row r="2046" spans="1:6" ht="24">
      <c r="A2046" s="190">
        <v>540806</v>
      </c>
      <c r="B2046" s="176" t="s">
        <v>2722</v>
      </c>
      <c r="C2046" s="169">
        <v>216019760</v>
      </c>
      <c r="D2046" s="178" t="s">
        <v>1699</v>
      </c>
      <c r="E2046" s="121">
        <v>90416</v>
      </c>
      <c r="F2046" s="120">
        <v>0</v>
      </c>
    </row>
    <row r="2047" spans="1:6" ht="24">
      <c r="A2047" s="190">
        <v>540806</v>
      </c>
      <c r="B2047" s="176" t="s">
        <v>2722</v>
      </c>
      <c r="C2047" s="169">
        <v>218019780</v>
      </c>
      <c r="D2047" s="178" t="s">
        <v>1700</v>
      </c>
      <c r="E2047" s="121">
        <v>183038</v>
      </c>
      <c r="F2047" s="120">
        <v>0</v>
      </c>
    </row>
    <row r="2048" spans="1:6" ht="24">
      <c r="A2048" s="190">
        <v>540806</v>
      </c>
      <c r="B2048" s="176" t="s">
        <v>2722</v>
      </c>
      <c r="C2048" s="169">
        <v>218519785</v>
      </c>
      <c r="D2048" s="178" t="s">
        <v>1011</v>
      </c>
      <c r="E2048" s="121">
        <v>55924</v>
      </c>
      <c r="F2048" s="120">
        <v>0</v>
      </c>
    </row>
    <row r="2049" spans="1:6" ht="24">
      <c r="A2049" s="190">
        <v>540806</v>
      </c>
      <c r="B2049" s="176" t="s">
        <v>2722</v>
      </c>
      <c r="C2049" s="169">
        <v>210719807</v>
      </c>
      <c r="D2049" s="178" t="s">
        <v>1701</v>
      </c>
      <c r="E2049" s="121">
        <v>206458</v>
      </c>
      <c r="F2049" s="120">
        <v>0</v>
      </c>
    </row>
    <row r="2050" spans="1:6" ht="24">
      <c r="A2050" s="190">
        <v>540806</v>
      </c>
      <c r="B2050" s="176" t="s">
        <v>2722</v>
      </c>
      <c r="C2050" s="170">
        <v>210919809</v>
      </c>
      <c r="D2050" s="178" t="s">
        <v>1702</v>
      </c>
      <c r="E2050" s="121">
        <v>321985</v>
      </c>
      <c r="F2050" s="120">
        <v>0</v>
      </c>
    </row>
    <row r="2051" spans="1:6" ht="24">
      <c r="A2051" s="190">
        <v>540806</v>
      </c>
      <c r="B2051" s="176" t="s">
        <v>2722</v>
      </c>
      <c r="C2051" s="170">
        <v>212119821</v>
      </c>
      <c r="D2051" s="178" t="s">
        <v>1703</v>
      </c>
      <c r="E2051" s="121">
        <v>357063</v>
      </c>
      <c r="F2051" s="120">
        <v>0</v>
      </c>
    </row>
    <row r="2052" spans="1:6" ht="24">
      <c r="A2052" s="190">
        <v>540806</v>
      </c>
      <c r="B2052" s="176" t="s">
        <v>2722</v>
      </c>
      <c r="C2052" s="169">
        <v>212419824</v>
      </c>
      <c r="D2052" s="178" t="s">
        <v>1704</v>
      </c>
      <c r="E2052" s="121">
        <v>161707</v>
      </c>
      <c r="F2052" s="120">
        <v>0</v>
      </c>
    </row>
    <row r="2053" spans="1:6" ht="24">
      <c r="A2053" s="190">
        <v>540806</v>
      </c>
      <c r="B2053" s="176" t="s">
        <v>2722</v>
      </c>
      <c r="C2053" s="170">
        <v>214519845</v>
      </c>
      <c r="D2053" s="178" t="s">
        <v>1705</v>
      </c>
      <c r="E2053" s="121">
        <v>97345</v>
      </c>
      <c r="F2053" s="120">
        <v>0</v>
      </c>
    </row>
    <row r="2054" spans="1:6" ht="24">
      <c r="A2054" s="190">
        <v>540806</v>
      </c>
      <c r="B2054" s="176" t="s">
        <v>2722</v>
      </c>
      <c r="C2054" s="170" t="s">
        <v>1706</v>
      </c>
      <c r="D2054" s="178" t="s">
        <v>1707</v>
      </c>
      <c r="E2054" s="121">
        <v>694105</v>
      </c>
      <c r="F2054" s="120">
        <v>0</v>
      </c>
    </row>
    <row r="2055" spans="1:6" ht="24">
      <c r="A2055" s="190">
        <v>540806</v>
      </c>
      <c r="B2055" s="176" t="s">
        <v>2722</v>
      </c>
      <c r="C2055" s="170" t="s">
        <v>1708</v>
      </c>
      <c r="D2055" s="178" t="s">
        <v>1709</v>
      </c>
      <c r="E2055" s="121">
        <v>477313</v>
      </c>
      <c r="F2055" s="120">
        <v>0</v>
      </c>
    </row>
    <row r="2056" spans="1:6" ht="24">
      <c r="A2056" s="190">
        <v>540806</v>
      </c>
      <c r="B2056" s="176" t="s">
        <v>2722</v>
      </c>
      <c r="C2056" s="170" t="s">
        <v>1710</v>
      </c>
      <c r="D2056" s="178" t="s">
        <v>1711</v>
      </c>
      <c r="E2056" s="121">
        <v>221282</v>
      </c>
      <c r="F2056" s="120">
        <v>0</v>
      </c>
    </row>
    <row r="2057" spans="1:6" ht="24">
      <c r="A2057" s="190">
        <v>540806</v>
      </c>
      <c r="B2057" s="176" t="s">
        <v>2722</v>
      </c>
      <c r="C2057" s="170" t="s">
        <v>1712</v>
      </c>
      <c r="D2057" s="178" t="s">
        <v>1713</v>
      </c>
      <c r="E2057" s="121">
        <v>162041</v>
      </c>
      <c r="F2057" s="120">
        <v>0</v>
      </c>
    </row>
    <row r="2058" spans="1:6" ht="24">
      <c r="A2058" s="190">
        <v>540806</v>
      </c>
      <c r="B2058" s="176" t="s">
        <v>2722</v>
      </c>
      <c r="C2058" s="170" t="s">
        <v>1714</v>
      </c>
      <c r="D2058" s="178" t="s">
        <v>1715</v>
      </c>
      <c r="E2058" s="121">
        <v>238763</v>
      </c>
      <c r="F2058" s="120">
        <v>0</v>
      </c>
    </row>
    <row r="2059" spans="1:6" ht="24">
      <c r="A2059" s="190">
        <v>540806</v>
      </c>
      <c r="B2059" s="176" t="s">
        <v>2722</v>
      </c>
      <c r="C2059" s="170" t="s">
        <v>1716</v>
      </c>
      <c r="D2059" s="178" t="s">
        <v>1717</v>
      </c>
      <c r="E2059" s="121">
        <v>389702</v>
      </c>
      <c r="F2059" s="120">
        <v>0</v>
      </c>
    </row>
    <row r="2060" spans="1:6" ht="24">
      <c r="A2060" s="190">
        <v>540806</v>
      </c>
      <c r="B2060" s="176" t="s">
        <v>2722</v>
      </c>
      <c r="C2060" s="170">
        <v>217820178</v>
      </c>
      <c r="D2060" s="178" t="s">
        <v>1718</v>
      </c>
      <c r="E2060" s="121">
        <v>248266</v>
      </c>
      <c r="F2060" s="120">
        <v>0</v>
      </c>
    </row>
    <row r="2061" spans="1:6" ht="24">
      <c r="A2061" s="190">
        <v>540806</v>
      </c>
      <c r="B2061" s="176" t="s">
        <v>2722</v>
      </c>
      <c r="C2061" s="170" t="s">
        <v>1719</v>
      </c>
      <c r="D2061" s="178" t="s">
        <v>1720</v>
      </c>
      <c r="E2061" s="121">
        <v>312865</v>
      </c>
      <c r="F2061" s="120">
        <v>0</v>
      </c>
    </row>
    <row r="2062" spans="1:6" ht="24">
      <c r="A2062" s="190">
        <v>540806</v>
      </c>
      <c r="B2062" s="176" t="s">
        <v>2722</v>
      </c>
      <c r="C2062" s="169" t="s">
        <v>1721</v>
      </c>
      <c r="D2062" s="178" t="s">
        <v>1722</v>
      </c>
      <c r="E2062" s="121">
        <v>230043</v>
      </c>
      <c r="F2062" s="120">
        <v>0</v>
      </c>
    </row>
    <row r="2063" spans="1:6" ht="24">
      <c r="A2063" s="190">
        <v>540806</v>
      </c>
      <c r="B2063" s="176" t="s">
        <v>2722</v>
      </c>
      <c r="C2063" s="169" t="s">
        <v>1723</v>
      </c>
      <c r="D2063" s="178" t="s">
        <v>1724</v>
      </c>
      <c r="E2063" s="121">
        <v>232832</v>
      </c>
      <c r="F2063" s="120">
        <v>0</v>
      </c>
    </row>
    <row r="2064" spans="1:6" ht="24">
      <c r="A2064" s="190">
        <v>540806</v>
      </c>
      <c r="B2064" s="176" t="s">
        <v>2722</v>
      </c>
      <c r="C2064" s="170" t="s">
        <v>1725</v>
      </c>
      <c r="D2064" s="178" t="s">
        <v>1726</v>
      </c>
      <c r="E2064" s="121">
        <v>106163</v>
      </c>
      <c r="F2064" s="120">
        <v>0</v>
      </c>
    </row>
    <row r="2065" spans="1:6" ht="24">
      <c r="A2065" s="190">
        <v>540806</v>
      </c>
      <c r="B2065" s="176" t="s">
        <v>2722</v>
      </c>
      <c r="C2065" s="169" t="s">
        <v>1727</v>
      </c>
      <c r="D2065" s="178" t="s">
        <v>1728</v>
      </c>
      <c r="E2065" s="121">
        <v>40545</v>
      </c>
      <c r="F2065" s="120">
        <v>0</v>
      </c>
    </row>
    <row r="2066" spans="1:6" ht="24">
      <c r="A2066" s="190">
        <v>540806</v>
      </c>
      <c r="B2066" s="176" t="s">
        <v>2722</v>
      </c>
      <c r="C2066" s="170" t="s">
        <v>1729</v>
      </c>
      <c r="D2066" s="178" t="s">
        <v>1730</v>
      </c>
      <c r="E2066" s="121">
        <v>135699</v>
      </c>
      <c r="F2066" s="120">
        <v>0</v>
      </c>
    </row>
    <row r="2067" spans="1:6" ht="24">
      <c r="A2067" s="190">
        <v>540806</v>
      </c>
      <c r="B2067" s="176" t="s">
        <v>2722</v>
      </c>
      <c r="C2067" s="169" t="s">
        <v>1731</v>
      </c>
      <c r="D2067" s="178" t="s">
        <v>1732</v>
      </c>
      <c r="E2067" s="121">
        <v>264099</v>
      </c>
      <c r="F2067" s="120">
        <v>0</v>
      </c>
    </row>
    <row r="2068" spans="1:6" ht="24">
      <c r="A2068" s="190">
        <v>540806</v>
      </c>
      <c r="B2068" s="176" t="s">
        <v>2722</v>
      </c>
      <c r="C2068" s="169" t="s">
        <v>1733</v>
      </c>
      <c r="D2068" s="178" t="s">
        <v>1734</v>
      </c>
      <c r="E2068" s="121">
        <v>87108</v>
      </c>
      <c r="F2068" s="120">
        <v>0</v>
      </c>
    </row>
    <row r="2069" spans="1:6" ht="24">
      <c r="A2069" s="190">
        <v>540806</v>
      </c>
      <c r="B2069" s="176" t="s">
        <v>2722</v>
      </c>
      <c r="C2069" s="169" t="s">
        <v>1735</v>
      </c>
      <c r="D2069" s="178" t="s">
        <v>1736</v>
      </c>
      <c r="E2069" s="121">
        <v>148456</v>
      </c>
      <c r="F2069" s="120">
        <v>0</v>
      </c>
    </row>
    <row r="2070" spans="1:6" ht="24">
      <c r="A2070" s="190">
        <v>540806</v>
      </c>
      <c r="B2070" s="176" t="s">
        <v>2722</v>
      </c>
      <c r="C2070" s="170" t="s">
        <v>1737</v>
      </c>
      <c r="D2070" s="178" t="s">
        <v>1738</v>
      </c>
      <c r="E2070" s="121">
        <v>177964</v>
      </c>
      <c r="F2070" s="120">
        <v>0</v>
      </c>
    </row>
    <row r="2071" spans="1:6" ht="24">
      <c r="A2071" s="190">
        <v>540806</v>
      </c>
      <c r="B2071" s="176" t="s">
        <v>2722</v>
      </c>
      <c r="C2071" s="169" t="s">
        <v>1739</v>
      </c>
      <c r="D2071" s="178" t="s">
        <v>1740</v>
      </c>
      <c r="E2071" s="121">
        <v>207153</v>
      </c>
      <c r="F2071" s="120">
        <v>0</v>
      </c>
    </row>
    <row r="2072" spans="1:6" ht="24">
      <c r="A2072" s="190">
        <v>540806</v>
      </c>
      <c r="B2072" s="176" t="s">
        <v>2722</v>
      </c>
      <c r="C2072" s="169" t="s">
        <v>1741</v>
      </c>
      <c r="D2072" s="178" t="s">
        <v>1742</v>
      </c>
      <c r="E2072" s="121">
        <v>152322</v>
      </c>
      <c r="F2072" s="120">
        <v>0</v>
      </c>
    </row>
    <row r="2073" spans="1:6" ht="24">
      <c r="A2073" s="190">
        <v>540806</v>
      </c>
      <c r="B2073" s="176" t="s">
        <v>2722</v>
      </c>
      <c r="C2073" s="169" t="s">
        <v>1743</v>
      </c>
      <c r="D2073" s="178" t="s">
        <v>1744</v>
      </c>
      <c r="E2073" s="121">
        <v>223162</v>
      </c>
      <c r="F2073" s="120">
        <v>0</v>
      </c>
    </row>
    <row r="2074" spans="1:6" ht="24">
      <c r="A2074" s="190">
        <v>540806</v>
      </c>
      <c r="B2074" s="176" t="s">
        <v>2722</v>
      </c>
      <c r="C2074" s="169" t="s">
        <v>1745</v>
      </c>
      <c r="D2074" s="178" t="s">
        <v>1746</v>
      </c>
      <c r="E2074" s="121">
        <v>158836</v>
      </c>
      <c r="F2074" s="120">
        <v>0</v>
      </c>
    </row>
    <row r="2075" spans="1:6" ht="24">
      <c r="A2075" s="190">
        <v>540806</v>
      </c>
      <c r="B2075" s="176" t="s">
        <v>2722</v>
      </c>
      <c r="C2075" s="169" t="s">
        <v>1747</v>
      </c>
      <c r="D2075" s="178" t="s">
        <v>1748</v>
      </c>
      <c r="E2075" s="121">
        <v>121584</v>
      </c>
      <c r="F2075" s="120">
        <v>0</v>
      </c>
    </row>
    <row r="2076" spans="1:6" ht="24">
      <c r="A2076" s="190">
        <v>540806</v>
      </c>
      <c r="B2076" s="176" t="s">
        <v>2722</v>
      </c>
      <c r="C2076" s="169" t="s">
        <v>1749</v>
      </c>
      <c r="D2076" s="178" t="s">
        <v>1750</v>
      </c>
      <c r="E2076" s="121">
        <v>152443</v>
      </c>
      <c r="F2076" s="120">
        <v>0</v>
      </c>
    </row>
    <row r="2077" spans="1:6" ht="24">
      <c r="A2077" s="190">
        <v>540806</v>
      </c>
      <c r="B2077" s="176" t="s">
        <v>2722</v>
      </c>
      <c r="C2077" s="170" t="s">
        <v>1751</v>
      </c>
      <c r="D2077" s="178" t="s">
        <v>1752</v>
      </c>
      <c r="E2077" s="121">
        <v>177908</v>
      </c>
      <c r="F2077" s="120">
        <v>0</v>
      </c>
    </row>
    <row r="2078" spans="1:6" ht="24">
      <c r="A2078" s="190">
        <v>540806</v>
      </c>
      <c r="B2078" s="176" t="s">
        <v>2722</v>
      </c>
      <c r="C2078" s="169" t="s">
        <v>1753</v>
      </c>
      <c r="D2078" s="178" t="s">
        <v>1754</v>
      </c>
      <c r="E2078" s="121">
        <v>446299</v>
      </c>
      <c r="F2078" s="120">
        <v>0</v>
      </c>
    </row>
    <row r="2079" spans="1:6" ht="24">
      <c r="A2079" s="190">
        <v>540806</v>
      </c>
      <c r="B2079" s="176" t="s">
        <v>2722</v>
      </c>
      <c r="C2079" s="170" t="s">
        <v>1755</v>
      </c>
      <c r="D2079" s="178" t="s">
        <v>1448</v>
      </c>
      <c r="E2079" s="121">
        <v>198073</v>
      </c>
      <c r="F2079" s="120">
        <v>0</v>
      </c>
    </row>
    <row r="2080" spans="1:6" ht="24">
      <c r="A2080" s="190">
        <v>540806</v>
      </c>
      <c r="B2080" s="176" t="s">
        <v>2722</v>
      </c>
      <c r="C2080" s="169">
        <v>219023090</v>
      </c>
      <c r="D2080" s="178" t="s">
        <v>1756</v>
      </c>
      <c r="E2080" s="121">
        <v>219688</v>
      </c>
      <c r="F2080" s="120">
        <v>0</v>
      </c>
    </row>
    <row r="2081" spans="1:6" ht="24">
      <c r="A2081" s="190">
        <v>540806</v>
      </c>
      <c r="B2081" s="176" t="s">
        <v>2722</v>
      </c>
      <c r="C2081" s="169" t="s">
        <v>1757</v>
      </c>
      <c r="D2081" s="178" t="s">
        <v>1758</v>
      </c>
      <c r="E2081" s="121">
        <v>635859</v>
      </c>
      <c r="F2081" s="120">
        <v>0</v>
      </c>
    </row>
    <row r="2082" spans="1:6" ht="24">
      <c r="A2082" s="190">
        <v>540806</v>
      </c>
      <c r="B2082" s="176" t="s">
        <v>2722</v>
      </c>
      <c r="C2082" s="169" t="s">
        <v>1759</v>
      </c>
      <c r="D2082" s="178" t="s">
        <v>1760</v>
      </c>
      <c r="E2082" s="121">
        <v>117882</v>
      </c>
      <c r="F2082" s="120">
        <v>0</v>
      </c>
    </row>
    <row r="2083" spans="1:6" ht="24">
      <c r="A2083" s="190">
        <v>540806</v>
      </c>
      <c r="B2083" s="176" t="s">
        <v>2722</v>
      </c>
      <c r="C2083" s="169" t="s">
        <v>1761</v>
      </c>
      <c r="D2083" s="178" t="s">
        <v>1762</v>
      </c>
      <c r="E2083" s="121">
        <v>402956</v>
      </c>
      <c r="F2083" s="120">
        <v>0</v>
      </c>
    </row>
    <row r="2084" spans="1:6" ht="24">
      <c r="A2084" s="190">
        <v>540806</v>
      </c>
      <c r="B2084" s="176" t="s">
        <v>2722</v>
      </c>
      <c r="C2084" s="169">
        <v>218923189</v>
      </c>
      <c r="D2084" s="178" t="s">
        <v>1763</v>
      </c>
      <c r="E2084" s="121">
        <v>474953</v>
      </c>
      <c r="F2084" s="120">
        <v>0</v>
      </c>
    </row>
    <row r="2085" spans="1:6" ht="24">
      <c r="A2085" s="190">
        <v>540806</v>
      </c>
      <c r="B2085" s="176" t="s">
        <v>2722</v>
      </c>
      <c r="C2085" s="169" t="s">
        <v>1764</v>
      </c>
      <c r="D2085" s="178" t="s">
        <v>1765</v>
      </c>
      <c r="E2085" s="121">
        <v>156979</v>
      </c>
      <c r="F2085" s="120">
        <v>0</v>
      </c>
    </row>
    <row r="2086" spans="1:6" ht="24">
      <c r="A2086" s="190">
        <v>540806</v>
      </c>
      <c r="B2086" s="176" t="s">
        <v>2722</v>
      </c>
      <c r="C2086" s="169" t="s">
        <v>1766</v>
      </c>
      <c r="D2086" s="178" t="s">
        <v>1767</v>
      </c>
      <c r="E2086" s="121">
        <v>125185</v>
      </c>
      <c r="F2086" s="120">
        <v>0</v>
      </c>
    </row>
    <row r="2087" spans="1:6" ht="24">
      <c r="A2087" s="190">
        <v>540806</v>
      </c>
      <c r="B2087" s="176" t="s">
        <v>2722</v>
      </c>
      <c r="C2087" s="169" t="s">
        <v>1768</v>
      </c>
      <c r="D2087" s="178" t="s">
        <v>1769</v>
      </c>
      <c r="E2087" s="121">
        <v>192507</v>
      </c>
      <c r="F2087" s="120">
        <v>0</v>
      </c>
    </row>
    <row r="2088" spans="1:6" ht="24">
      <c r="A2088" s="190">
        <v>540806</v>
      </c>
      <c r="B2088" s="176" t="s">
        <v>2722</v>
      </c>
      <c r="C2088" s="169" t="s">
        <v>1770</v>
      </c>
      <c r="D2088" s="178" t="s">
        <v>1771</v>
      </c>
      <c r="E2088" s="121">
        <v>151735</v>
      </c>
      <c r="F2088" s="120">
        <v>0</v>
      </c>
    </row>
    <row r="2089" spans="1:6" ht="24">
      <c r="A2089" s="190">
        <v>540806</v>
      </c>
      <c r="B2089" s="176" t="s">
        <v>2722</v>
      </c>
      <c r="C2089" s="169" t="s">
        <v>1772</v>
      </c>
      <c r="D2089" s="178" t="s">
        <v>1773</v>
      </c>
      <c r="E2089" s="121">
        <v>646729</v>
      </c>
      <c r="F2089" s="120">
        <v>0</v>
      </c>
    </row>
    <row r="2090" spans="1:6" ht="24">
      <c r="A2090" s="190">
        <v>540806</v>
      </c>
      <c r="B2090" s="176" t="s">
        <v>2722</v>
      </c>
      <c r="C2090" s="169" t="s">
        <v>1774</v>
      </c>
      <c r="D2090" s="178" t="s">
        <v>1775</v>
      </c>
      <c r="E2090" s="121">
        <v>343591</v>
      </c>
      <c r="F2090" s="120">
        <v>0</v>
      </c>
    </row>
    <row r="2091" spans="1:6" ht="24">
      <c r="A2091" s="190">
        <v>540806</v>
      </c>
      <c r="B2091" s="176" t="s">
        <v>2722</v>
      </c>
      <c r="C2091" s="169" t="s">
        <v>1776</v>
      </c>
      <c r="D2091" s="178" t="s">
        <v>1777</v>
      </c>
      <c r="E2091" s="121">
        <v>568600</v>
      </c>
      <c r="F2091" s="120">
        <v>0</v>
      </c>
    </row>
    <row r="2092" spans="1:6" ht="24">
      <c r="A2092" s="190">
        <v>540806</v>
      </c>
      <c r="B2092" s="176" t="s">
        <v>2722</v>
      </c>
      <c r="C2092" s="169">
        <v>217023570</v>
      </c>
      <c r="D2092" s="178" t="s">
        <v>1778</v>
      </c>
      <c r="E2092" s="121">
        <v>302828</v>
      </c>
      <c r="F2092" s="120">
        <v>0</v>
      </c>
    </row>
    <row r="2093" spans="1:6" ht="24">
      <c r="A2093" s="190">
        <v>540806</v>
      </c>
      <c r="B2093" s="176" t="s">
        <v>2722</v>
      </c>
      <c r="C2093" s="169">
        <v>217423574</v>
      </c>
      <c r="D2093" s="178" t="s">
        <v>1779</v>
      </c>
      <c r="E2093" s="121">
        <v>257486</v>
      </c>
      <c r="F2093" s="120">
        <v>0</v>
      </c>
    </row>
    <row r="2094" spans="1:6" ht="24">
      <c r="A2094" s="190">
        <v>540806</v>
      </c>
      <c r="B2094" s="176" t="s">
        <v>2722</v>
      </c>
      <c r="C2094" s="169">
        <v>218023580</v>
      </c>
      <c r="D2094" s="178" t="s">
        <v>1780</v>
      </c>
      <c r="E2094" s="121">
        <v>378800</v>
      </c>
      <c r="F2094" s="120">
        <v>0</v>
      </c>
    </row>
    <row r="2095" spans="1:6" ht="24">
      <c r="A2095" s="190">
        <v>540806</v>
      </c>
      <c r="B2095" s="176" t="s">
        <v>2722</v>
      </c>
      <c r="C2095" s="169">
        <v>218623586</v>
      </c>
      <c r="D2095" s="178" t="s">
        <v>1781</v>
      </c>
      <c r="E2095" s="121">
        <v>168423</v>
      </c>
      <c r="F2095" s="120">
        <v>0</v>
      </c>
    </row>
    <row r="2096" spans="1:6" ht="24">
      <c r="A2096" s="190">
        <v>540806</v>
      </c>
      <c r="B2096" s="176" t="s">
        <v>2722</v>
      </c>
      <c r="C2096" s="169" t="s">
        <v>1782</v>
      </c>
      <c r="D2096" s="178" t="s">
        <v>1783</v>
      </c>
      <c r="E2096" s="121">
        <v>724635</v>
      </c>
      <c r="F2096" s="120">
        <v>0</v>
      </c>
    </row>
    <row r="2097" spans="1:6" ht="24">
      <c r="A2097" s="190">
        <v>540806</v>
      </c>
      <c r="B2097" s="176" t="s">
        <v>2722</v>
      </c>
      <c r="C2097" s="169" t="s">
        <v>1784</v>
      </c>
      <c r="D2097" s="178" t="s">
        <v>1785</v>
      </c>
      <c r="E2097" s="121">
        <v>365828</v>
      </c>
      <c r="F2097" s="120">
        <v>0</v>
      </c>
    </row>
    <row r="2098" spans="1:6" ht="24">
      <c r="A2098" s="190">
        <v>540806</v>
      </c>
      <c r="B2098" s="176" t="s">
        <v>2722</v>
      </c>
      <c r="C2098" s="169" t="s">
        <v>1786</v>
      </c>
      <c r="D2098" s="178" t="s">
        <v>1787</v>
      </c>
      <c r="E2098" s="121">
        <v>345168</v>
      </c>
      <c r="F2098" s="120">
        <v>0</v>
      </c>
    </row>
    <row r="2099" spans="1:6" ht="24">
      <c r="A2099" s="190">
        <v>540806</v>
      </c>
      <c r="B2099" s="176" t="s">
        <v>2722</v>
      </c>
      <c r="C2099" s="169" t="s">
        <v>1788</v>
      </c>
      <c r="D2099" s="178" t="s">
        <v>1247</v>
      </c>
      <c r="E2099" s="121">
        <v>256128</v>
      </c>
      <c r="F2099" s="120">
        <v>0</v>
      </c>
    </row>
    <row r="2100" spans="1:6" ht="24">
      <c r="A2100" s="190">
        <v>540806</v>
      </c>
      <c r="B2100" s="176" t="s">
        <v>2722</v>
      </c>
      <c r="C2100" s="169" t="s">
        <v>1789</v>
      </c>
      <c r="D2100" s="178" t="s">
        <v>1790</v>
      </c>
      <c r="E2100" s="121">
        <v>390234</v>
      </c>
      <c r="F2100" s="120">
        <v>0</v>
      </c>
    </row>
    <row r="2101" spans="1:6" ht="24">
      <c r="A2101" s="190">
        <v>540806</v>
      </c>
      <c r="B2101" s="176" t="s">
        <v>2722</v>
      </c>
      <c r="C2101" s="169" t="s">
        <v>1791</v>
      </c>
      <c r="D2101" s="178" t="s">
        <v>1792</v>
      </c>
      <c r="E2101" s="121">
        <v>868278</v>
      </c>
      <c r="F2101" s="120">
        <v>0</v>
      </c>
    </row>
    <row r="2102" spans="1:6" ht="24">
      <c r="A2102" s="190">
        <v>540806</v>
      </c>
      <c r="B2102" s="176" t="s">
        <v>2722</v>
      </c>
      <c r="C2102" s="169" t="s">
        <v>1793</v>
      </c>
      <c r="D2102" s="178" t="s">
        <v>1794</v>
      </c>
      <c r="E2102" s="121">
        <v>396584</v>
      </c>
      <c r="F2102" s="120">
        <v>0</v>
      </c>
    </row>
    <row r="2103" spans="1:6" ht="24">
      <c r="A2103" s="190">
        <v>540806</v>
      </c>
      <c r="B2103" s="176" t="s">
        <v>2722</v>
      </c>
      <c r="C2103" s="169" t="s">
        <v>1795</v>
      </c>
      <c r="D2103" s="178" t="s">
        <v>1796</v>
      </c>
      <c r="E2103" s="121">
        <v>78716</v>
      </c>
      <c r="F2103" s="120">
        <v>0</v>
      </c>
    </row>
    <row r="2104" spans="1:6" ht="24">
      <c r="A2104" s="190">
        <v>540806</v>
      </c>
      <c r="B2104" s="176" t="s">
        <v>2722</v>
      </c>
      <c r="C2104" s="169" t="s">
        <v>1797</v>
      </c>
      <c r="D2104" s="178" t="s">
        <v>1798</v>
      </c>
      <c r="E2104" s="121">
        <v>50349</v>
      </c>
      <c r="F2104" s="120">
        <v>0</v>
      </c>
    </row>
    <row r="2105" spans="1:6" ht="24">
      <c r="A2105" s="190">
        <v>540806</v>
      </c>
      <c r="B2105" s="176" t="s">
        <v>2722</v>
      </c>
      <c r="C2105" s="169" t="s">
        <v>1799</v>
      </c>
      <c r="D2105" s="178" t="s">
        <v>1800</v>
      </c>
      <c r="E2105" s="121">
        <v>70000</v>
      </c>
      <c r="F2105" s="120">
        <v>0</v>
      </c>
    </row>
    <row r="2106" spans="1:6" ht="24">
      <c r="A2106" s="190">
        <v>540806</v>
      </c>
      <c r="B2106" s="176" t="s">
        <v>2722</v>
      </c>
      <c r="C2106" s="169" t="s">
        <v>1801</v>
      </c>
      <c r="D2106" s="178" t="s">
        <v>1802</v>
      </c>
      <c r="E2106" s="121">
        <v>114900</v>
      </c>
      <c r="F2106" s="120">
        <v>0</v>
      </c>
    </row>
    <row r="2107" spans="1:6" ht="24">
      <c r="A2107" s="190">
        <v>540806</v>
      </c>
      <c r="B2107" s="176" t="s">
        <v>2722</v>
      </c>
      <c r="C2107" s="169" t="s">
        <v>1803</v>
      </c>
      <c r="D2107" s="178" t="s">
        <v>1804</v>
      </c>
      <c r="E2107" s="121">
        <v>89135</v>
      </c>
      <c r="F2107" s="120">
        <v>0</v>
      </c>
    </row>
    <row r="2108" spans="1:6" ht="24">
      <c r="A2108" s="190">
        <v>540806</v>
      </c>
      <c r="B2108" s="176" t="s">
        <v>2722</v>
      </c>
      <c r="C2108" s="169" t="s">
        <v>1805</v>
      </c>
      <c r="D2108" s="178" t="s">
        <v>1806</v>
      </c>
      <c r="E2108" s="121">
        <v>19590</v>
      </c>
      <c r="F2108" s="120">
        <v>0</v>
      </c>
    </row>
    <row r="2109" spans="1:6" ht="24">
      <c r="A2109" s="190">
        <v>540806</v>
      </c>
      <c r="B2109" s="176" t="s">
        <v>2722</v>
      </c>
      <c r="C2109" s="169" t="s">
        <v>1807</v>
      </c>
      <c r="D2109" s="178" t="s">
        <v>1808</v>
      </c>
      <c r="E2109" s="121">
        <v>18743</v>
      </c>
      <c r="F2109" s="120">
        <v>0</v>
      </c>
    </row>
    <row r="2110" spans="1:6" ht="24">
      <c r="A2110" s="190">
        <v>540806</v>
      </c>
      <c r="B2110" s="176" t="s">
        <v>2722</v>
      </c>
      <c r="C2110" s="169" t="s">
        <v>1809</v>
      </c>
      <c r="D2110" s="178" t="s">
        <v>1810</v>
      </c>
      <c r="E2110" s="121">
        <v>54891</v>
      </c>
      <c r="F2110" s="120">
        <v>0</v>
      </c>
    </row>
    <row r="2111" spans="1:6" ht="24">
      <c r="A2111" s="190">
        <v>540806</v>
      </c>
      <c r="B2111" s="176" t="s">
        <v>2722</v>
      </c>
      <c r="C2111" s="169" t="s">
        <v>1811</v>
      </c>
      <c r="D2111" s="178" t="s">
        <v>1812</v>
      </c>
      <c r="E2111" s="121">
        <v>37877</v>
      </c>
      <c r="F2111" s="120">
        <v>0</v>
      </c>
    </row>
    <row r="2112" spans="1:6" ht="24">
      <c r="A2112" s="190">
        <v>540806</v>
      </c>
      <c r="B2112" s="176" t="s">
        <v>2722</v>
      </c>
      <c r="C2112" s="169" t="s">
        <v>1813</v>
      </c>
      <c r="D2112" s="178" t="s">
        <v>1814</v>
      </c>
      <c r="E2112" s="121">
        <v>49138</v>
      </c>
      <c r="F2112" s="120">
        <v>0</v>
      </c>
    </row>
    <row r="2113" spans="1:6" ht="24">
      <c r="A2113" s="190">
        <v>540806</v>
      </c>
      <c r="B2113" s="176" t="s">
        <v>2722</v>
      </c>
      <c r="C2113" s="169" t="s">
        <v>1815</v>
      </c>
      <c r="D2113" s="178" t="s">
        <v>1816</v>
      </c>
      <c r="E2113" s="121">
        <v>276438</v>
      </c>
      <c r="F2113" s="120">
        <v>0</v>
      </c>
    </row>
    <row r="2114" spans="1:6" ht="24">
      <c r="A2114" s="190">
        <v>540806</v>
      </c>
      <c r="B2114" s="176" t="s">
        <v>2722</v>
      </c>
      <c r="C2114" s="169" t="s">
        <v>1817</v>
      </c>
      <c r="D2114" s="178" t="s">
        <v>1818</v>
      </c>
      <c r="E2114" s="121">
        <v>106754</v>
      </c>
      <c r="F2114" s="120">
        <v>0</v>
      </c>
    </row>
    <row r="2115" spans="1:6" ht="24">
      <c r="A2115" s="190">
        <v>540806</v>
      </c>
      <c r="B2115" s="176" t="s">
        <v>2722</v>
      </c>
      <c r="C2115" s="169" t="s">
        <v>1819</v>
      </c>
      <c r="D2115" s="178" t="s">
        <v>1820</v>
      </c>
      <c r="E2115" s="121">
        <v>119684</v>
      </c>
      <c r="F2115" s="120">
        <v>0</v>
      </c>
    </row>
    <row r="2116" spans="1:6" ht="24">
      <c r="A2116" s="190">
        <v>540806</v>
      </c>
      <c r="B2116" s="176" t="s">
        <v>2722</v>
      </c>
      <c r="C2116" s="169" t="s">
        <v>1821</v>
      </c>
      <c r="D2116" s="178" t="s">
        <v>1822</v>
      </c>
      <c r="E2116" s="121">
        <v>47506</v>
      </c>
      <c r="F2116" s="120">
        <v>0</v>
      </c>
    </row>
    <row r="2117" spans="1:6" ht="24">
      <c r="A2117" s="190">
        <v>540806</v>
      </c>
      <c r="B2117" s="176" t="s">
        <v>2722</v>
      </c>
      <c r="C2117" s="169" t="s">
        <v>1823</v>
      </c>
      <c r="D2117" s="178" t="s">
        <v>1824</v>
      </c>
      <c r="E2117" s="121">
        <v>27311</v>
      </c>
      <c r="F2117" s="120">
        <v>0</v>
      </c>
    </row>
    <row r="2118" spans="1:6" ht="24">
      <c r="A2118" s="190">
        <v>540806</v>
      </c>
      <c r="B2118" s="176" t="s">
        <v>2722</v>
      </c>
      <c r="C2118" s="169" t="s">
        <v>1825</v>
      </c>
      <c r="D2118" s="178" t="s">
        <v>1826</v>
      </c>
      <c r="E2118" s="121">
        <v>457012</v>
      </c>
      <c r="F2118" s="120">
        <v>0</v>
      </c>
    </row>
    <row r="2119" spans="1:6" ht="24">
      <c r="A2119" s="190">
        <v>540806</v>
      </c>
      <c r="B2119" s="176" t="s">
        <v>2722</v>
      </c>
      <c r="C2119" s="169" t="s">
        <v>1827</v>
      </c>
      <c r="D2119" s="178" t="s">
        <v>1828</v>
      </c>
      <c r="E2119" s="121">
        <v>58043</v>
      </c>
      <c r="F2119" s="120">
        <v>0</v>
      </c>
    </row>
    <row r="2120" spans="1:6" ht="24">
      <c r="A2120" s="190">
        <v>540806</v>
      </c>
      <c r="B2120" s="176" t="s">
        <v>2722</v>
      </c>
      <c r="C2120" s="169" t="s">
        <v>1829</v>
      </c>
      <c r="D2120" s="178" t="s">
        <v>1830</v>
      </c>
      <c r="E2120" s="121">
        <v>84106</v>
      </c>
      <c r="F2120" s="120">
        <v>0</v>
      </c>
    </row>
    <row r="2121" spans="1:6" ht="24">
      <c r="A2121" s="190">
        <v>540806</v>
      </c>
      <c r="B2121" s="176" t="s">
        <v>2722</v>
      </c>
      <c r="C2121" s="169" t="s">
        <v>1831</v>
      </c>
      <c r="D2121" s="178" t="s">
        <v>1832</v>
      </c>
      <c r="E2121" s="121">
        <v>140907</v>
      </c>
      <c r="F2121" s="120">
        <v>0</v>
      </c>
    </row>
    <row r="2122" spans="1:6" ht="24">
      <c r="A2122" s="190">
        <v>540806</v>
      </c>
      <c r="B2122" s="176" t="s">
        <v>2722</v>
      </c>
      <c r="C2122" s="169" t="s">
        <v>1833</v>
      </c>
      <c r="D2122" s="178" t="s">
        <v>1834</v>
      </c>
      <c r="E2122" s="121">
        <v>109503</v>
      </c>
      <c r="F2122" s="120">
        <v>0</v>
      </c>
    </row>
    <row r="2123" spans="1:6" ht="24">
      <c r="A2123" s="190">
        <v>540806</v>
      </c>
      <c r="B2123" s="176" t="s">
        <v>2722</v>
      </c>
      <c r="C2123" s="169" t="s">
        <v>1835</v>
      </c>
      <c r="D2123" s="178" t="s">
        <v>1836</v>
      </c>
      <c r="E2123" s="121">
        <v>99239</v>
      </c>
      <c r="F2123" s="120">
        <v>0</v>
      </c>
    </row>
    <row r="2124" spans="1:6" ht="24">
      <c r="A2124" s="190">
        <v>540806</v>
      </c>
      <c r="B2124" s="176" t="s">
        <v>2722</v>
      </c>
      <c r="C2124" s="169" t="s">
        <v>1837</v>
      </c>
      <c r="D2124" s="178" t="s">
        <v>1838</v>
      </c>
      <c r="E2124" s="121">
        <v>49502</v>
      </c>
      <c r="F2124" s="120">
        <v>0</v>
      </c>
    </row>
    <row r="2125" spans="1:6" ht="24">
      <c r="A2125" s="190">
        <v>540806</v>
      </c>
      <c r="B2125" s="176" t="s">
        <v>2722</v>
      </c>
      <c r="C2125" s="169" t="s">
        <v>1839</v>
      </c>
      <c r="D2125" s="178" t="s">
        <v>1840</v>
      </c>
      <c r="E2125" s="121">
        <v>161673</v>
      </c>
      <c r="F2125" s="120">
        <v>0</v>
      </c>
    </row>
    <row r="2126" spans="1:6" ht="24">
      <c r="A2126" s="190">
        <v>540806</v>
      </c>
      <c r="B2126" s="176" t="s">
        <v>2722</v>
      </c>
      <c r="C2126" s="169">
        <v>215825258</v>
      </c>
      <c r="D2126" s="178" t="s">
        <v>1379</v>
      </c>
      <c r="E2126" s="121">
        <v>44181</v>
      </c>
      <c r="F2126" s="120">
        <v>0</v>
      </c>
    </row>
    <row r="2127" spans="1:6" ht="24">
      <c r="A2127" s="190">
        <v>540806</v>
      </c>
      <c r="B2127" s="176" t="s">
        <v>2722</v>
      </c>
      <c r="C2127" s="169" t="s">
        <v>1841</v>
      </c>
      <c r="D2127" s="178" t="s">
        <v>1842</v>
      </c>
      <c r="E2127" s="121">
        <v>75265</v>
      </c>
      <c r="F2127" s="120">
        <v>0</v>
      </c>
    </row>
    <row r="2128" spans="1:6" ht="24">
      <c r="A2128" s="190">
        <v>540806</v>
      </c>
      <c r="B2128" s="176" t="s">
        <v>2722</v>
      </c>
      <c r="C2128" s="169" t="s">
        <v>1843</v>
      </c>
      <c r="D2128" s="178" t="s">
        <v>1844</v>
      </c>
      <c r="E2128" s="121">
        <v>646357</v>
      </c>
      <c r="F2128" s="120">
        <v>0</v>
      </c>
    </row>
    <row r="2129" spans="1:6" ht="24">
      <c r="A2129" s="190">
        <v>540806</v>
      </c>
      <c r="B2129" s="176" t="s">
        <v>2722</v>
      </c>
      <c r="C2129" s="169" t="s">
        <v>1845</v>
      </c>
      <c r="D2129" s="178" t="s">
        <v>1846</v>
      </c>
      <c r="E2129" s="121">
        <v>74752</v>
      </c>
      <c r="F2129" s="120">
        <v>0</v>
      </c>
    </row>
    <row r="2130" spans="1:6" ht="24">
      <c r="A2130" s="190">
        <v>540806</v>
      </c>
      <c r="B2130" s="176" t="s">
        <v>2722</v>
      </c>
      <c r="C2130" s="169">
        <v>218125281</v>
      </c>
      <c r="D2130" s="178" t="s">
        <v>1847</v>
      </c>
      <c r="E2130" s="121">
        <v>44086</v>
      </c>
      <c r="F2130" s="120">
        <v>0</v>
      </c>
    </row>
    <row r="2131" spans="1:6" ht="24">
      <c r="A2131" s="190">
        <v>540806</v>
      </c>
      <c r="B2131" s="176" t="s">
        <v>2722</v>
      </c>
      <c r="C2131" s="169" t="s">
        <v>1848</v>
      </c>
      <c r="D2131" s="178" t="s">
        <v>1849</v>
      </c>
      <c r="E2131" s="121">
        <v>284494</v>
      </c>
      <c r="F2131" s="120">
        <v>0</v>
      </c>
    </row>
    <row r="2132" spans="1:6" ht="24">
      <c r="A2132" s="190">
        <v>540806</v>
      </c>
      <c r="B2132" s="176" t="s">
        <v>2722</v>
      </c>
      <c r="C2132" s="169" t="s">
        <v>1850</v>
      </c>
      <c r="D2132" s="178" t="s">
        <v>1851</v>
      </c>
      <c r="E2132" s="121">
        <v>45081</v>
      </c>
      <c r="F2132" s="120">
        <v>0</v>
      </c>
    </row>
    <row r="2133" spans="1:6" ht="24">
      <c r="A2133" s="190">
        <v>540806</v>
      </c>
      <c r="B2133" s="176" t="s">
        <v>2722</v>
      </c>
      <c r="C2133" s="169" t="s">
        <v>1852</v>
      </c>
      <c r="D2133" s="178" t="s">
        <v>1853</v>
      </c>
      <c r="E2133" s="121">
        <v>45779</v>
      </c>
      <c r="F2133" s="120">
        <v>0</v>
      </c>
    </row>
    <row r="2134" spans="1:6" ht="24">
      <c r="A2134" s="190">
        <v>540806</v>
      </c>
      <c r="B2134" s="176" t="s">
        <v>2722</v>
      </c>
      <c r="C2134" s="169">
        <v>219525295</v>
      </c>
      <c r="D2134" s="178" t="s">
        <v>1854</v>
      </c>
      <c r="E2134" s="121">
        <v>68574</v>
      </c>
      <c r="F2134" s="120">
        <v>0</v>
      </c>
    </row>
    <row r="2135" spans="1:6" ht="24">
      <c r="A2135" s="190">
        <v>540806</v>
      </c>
      <c r="B2135" s="176" t="s">
        <v>2722</v>
      </c>
      <c r="C2135" s="169" t="s">
        <v>1855</v>
      </c>
      <c r="D2135" s="178" t="s">
        <v>1856</v>
      </c>
      <c r="E2135" s="121">
        <v>81718</v>
      </c>
      <c r="F2135" s="120">
        <v>0</v>
      </c>
    </row>
    <row r="2136" spans="1:6" ht="24">
      <c r="A2136" s="190">
        <v>540806</v>
      </c>
      <c r="B2136" s="176" t="s">
        <v>2722</v>
      </c>
      <c r="C2136" s="169" t="s">
        <v>1857</v>
      </c>
      <c r="D2136" s="178" t="s">
        <v>1858</v>
      </c>
      <c r="E2136" s="121">
        <v>23223</v>
      </c>
      <c r="F2136" s="120">
        <v>0</v>
      </c>
    </row>
    <row r="2137" spans="1:6" ht="24">
      <c r="A2137" s="190">
        <v>540806</v>
      </c>
      <c r="B2137" s="176" t="s">
        <v>2722</v>
      </c>
      <c r="C2137" s="169" t="s">
        <v>1859</v>
      </c>
      <c r="D2137" s="178" t="s">
        <v>1179</v>
      </c>
      <c r="E2137" s="121">
        <v>47746</v>
      </c>
      <c r="F2137" s="120">
        <v>0</v>
      </c>
    </row>
    <row r="2138" spans="1:6" ht="24">
      <c r="A2138" s="190">
        <v>540806</v>
      </c>
      <c r="B2138" s="176" t="s">
        <v>2722</v>
      </c>
      <c r="C2138" s="169" t="s">
        <v>1860</v>
      </c>
      <c r="D2138" s="178" t="s">
        <v>1861</v>
      </c>
      <c r="E2138" s="121">
        <v>87378</v>
      </c>
      <c r="F2138" s="120">
        <v>0</v>
      </c>
    </row>
    <row r="2139" spans="1:6" ht="24">
      <c r="A2139" s="190">
        <v>540806</v>
      </c>
      <c r="B2139" s="176" t="s">
        <v>2722</v>
      </c>
      <c r="C2139" s="169" t="s">
        <v>1862</v>
      </c>
      <c r="D2139" s="178" t="s">
        <v>1863</v>
      </c>
      <c r="E2139" s="121">
        <v>174451</v>
      </c>
      <c r="F2139" s="120">
        <v>0</v>
      </c>
    </row>
    <row r="2140" spans="1:6" ht="24">
      <c r="A2140" s="190">
        <v>540806</v>
      </c>
      <c r="B2140" s="176" t="s">
        <v>2722</v>
      </c>
      <c r="C2140" s="169" t="s">
        <v>1864</v>
      </c>
      <c r="D2140" s="178" t="s">
        <v>1865</v>
      </c>
      <c r="E2140" s="121">
        <v>117316</v>
      </c>
      <c r="F2140" s="120">
        <v>0</v>
      </c>
    </row>
    <row r="2141" spans="1:6" ht="24">
      <c r="A2141" s="190">
        <v>540806</v>
      </c>
      <c r="B2141" s="176" t="s">
        <v>2722</v>
      </c>
      <c r="C2141" s="169" t="s">
        <v>1866</v>
      </c>
      <c r="D2141" s="178" t="s">
        <v>1867</v>
      </c>
      <c r="E2141" s="121">
        <v>25283</v>
      </c>
      <c r="F2141" s="120">
        <v>0</v>
      </c>
    </row>
    <row r="2142" spans="1:6" ht="24">
      <c r="A2142" s="190">
        <v>540806</v>
      </c>
      <c r="B2142" s="176" t="s">
        <v>2722</v>
      </c>
      <c r="C2142" s="169" t="s">
        <v>1868</v>
      </c>
      <c r="D2142" s="178" t="s">
        <v>1869</v>
      </c>
      <c r="E2142" s="121">
        <v>37935</v>
      </c>
      <c r="F2142" s="120">
        <v>0</v>
      </c>
    </row>
    <row r="2143" spans="1:6" ht="24">
      <c r="A2143" s="190">
        <v>540806</v>
      </c>
      <c r="B2143" s="176" t="s">
        <v>2722</v>
      </c>
      <c r="C2143" s="169">
        <v>212825328</v>
      </c>
      <c r="D2143" s="178" t="s">
        <v>1870</v>
      </c>
      <c r="E2143" s="121">
        <v>28673</v>
      </c>
      <c r="F2143" s="120">
        <v>0</v>
      </c>
    </row>
    <row r="2144" spans="1:6" ht="24">
      <c r="A2144" s="190">
        <v>540806</v>
      </c>
      <c r="B2144" s="176" t="s">
        <v>2722</v>
      </c>
      <c r="C2144" s="169" t="s">
        <v>1871</v>
      </c>
      <c r="D2144" s="178" t="s">
        <v>1872</v>
      </c>
      <c r="E2144" s="121">
        <v>42083</v>
      </c>
      <c r="F2144" s="120">
        <v>0</v>
      </c>
    </row>
    <row r="2145" spans="1:6" ht="24">
      <c r="A2145" s="190">
        <v>540806</v>
      </c>
      <c r="B2145" s="176" t="s">
        <v>2722</v>
      </c>
      <c r="C2145" s="170" t="s">
        <v>1873</v>
      </c>
      <c r="D2145" s="178" t="s">
        <v>1874</v>
      </c>
      <c r="E2145" s="121">
        <v>32989</v>
      </c>
      <c r="F2145" s="120">
        <v>0</v>
      </c>
    </row>
    <row r="2146" spans="1:6" ht="24">
      <c r="A2146" s="190">
        <v>540806</v>
      </c>
      <c r="B2146" s="176" t="s">
        <v>2722</v>
      </c>
      <c r="C2146" s="169" t="s">
        <v>1875</v>
      </c>
      <c r="D2146" s="178" t="s">
        <v>1876</v>
      </c>
      <c r="E2146" s="121">
        <v>23089</v>
      </c>
      <c r="F2146" s="120">
        <v>0</v>
      </c>
    </row>
    <row r="2147" spans="1:6" ht="24">
      <c r="A2147" s="190">
        <v>540806</v>
      </c>
      <c r="B2147" s="176" t="s">
        <v>2722</v>
      </c>
      <c r="C2147" s="170" t="s">
        <v>1877</v>
      </c>
      <c r="D2147" s="178" t="s">
        <v>1878</v>
      </c>
      <c r="E2147" s="121">
        <v>60432</v>
      </c>
      <c r="F2147" s="120">
        <v>0</v>
      </c>
    </row>
    <row r="2148" spans="1:6" ht="24">
      <c r="A2148" s="190">
        <v>540806</v>
      </c>
      <c r="B2148" s="176" t="s">
        <v>2722</v>
      </c>
      <c r="C2148" s="170" t="s">
        <v>1879</v>
      </c>
      <c r="D2148" s="178" t="s">
        <v>1880</v>
      </c>
      <c r="E2148" s="121">
        <v>117313</v>
      </c>
      <c r="F2148" s="120">
        <v>0</v>
      </c>
    </row>
    <row r="2149" spans="1:6" ht="24">
      <c r="A2149" s="190">
        <v>540806</v>
      </c>
      <c r="B2149" s="176" t="s">
        <v>2722</v>
      </c>
      <c r="C2149" s="170" t="s">
        <v>1881</v>
      </c>
      <c r="D2149" s="178" t="s">
        <v>1882</v>
      </c>
      <c r="E2149" s="121">
        <v>176634</v>
      </c>
      <c r="F2149" s="120">
        <v>0</v>
      </c>
    </row>
    <row r="2150" spans="1:6" ht="24">
      <c r="A2150" s="190">
        <v>540806</v>
      </c>
      <c r="B2150" s="176" t="s">
        <v>2722</v>
      </c>
      <c r="C2150" s="170" t="s">
        <v>1883</v>
      </c>
      <c r="D2150" s="178" t="s">
        <v>1884</v>
      </c>
      <c r="E2150" s="121">
        <v>76036</v>
      </c>
      <c r="F2150" s="120">
        <v>0</v>
      </c>
    </row>
    <row r="2151" spans="1:6" ht="24">
      <c r="A2151" s="190">
        <v>540806</v>
      </c>
      <c r="B2151" s="176" t="s">
        <v>2722</v>
      </c>
      <c r="C2151" s="170" t="s">
        <v>1885</v>
      </c>
      <c r="D2151" s="178" t="s">
        <v>1886</v>
      </c>
      <c r="E2151" s="121">
        <v>48961</v>
      </c>
      <c r="F2151" s="120">
        <v>0</v>
      </c>
    </row>
    <row r="2152" spans="1:6" ht="24">
      <c r="A2152" s="190">
        <v>540806</v>
      </c>
      <c r="B2152" s="176" t="s">
        <v>2722</v>
      </c>
      <c r="C2152" s="170" t="s">
        <v>1887</v>
      </c>
      <c r="D2152" s="178" t="s">
        <v>1685</v>
      </c>
      <c r="E2152" s="121">
        <v>111175</v>
      </c>
      <c r="F2152" s="120">
        <v>0</v>
      </c>
    </row>
    <row r="2153" spans="1:6" ht="24">
      <c r="A2153" s="190">
        <v>540806</v>
      </c>
      <c r="B2153" s="176" t="s">
        <v>2722</v>
      </c>
      <c r="C2153" s="170" t="s">
        <v>1888</v>
      </c>
      <c r="D2153" s="178" t="s">
        <v>1889</v>
      </c>
      <c r="E2153" s="121">
        <v>63036</v>
      </c>
      <c r="F2153" s="120">
        <v>0</v>
      </c>
    </row>
    <row r="2154" spans="1:6" ht="24">
      <c r="A2154" s="190">
        <v>540806</v>
      </c>
      <c r="B2154" s="176" t="s">
        <v>2722</v>
      </c>
      <c r="C2154" s="170" t="s">
        <v>1890</v>
      </c>
      <c r="D2154" s="178" t="s">
        <v>1891</v>
      </c>
      <c r="E2154" s="121">
        <v>50897</v>
      </c>
      <c r="F2154" s="120">
        <v>0</v>
      </c>
    </row>
    <row r="2155" spans="1:6" ht="24">
      <c r="A2155" s="190">
        <v>540806</v>
      </c>
      <c r="B2155" s="176" t="s">
        <v>2722</v>
      </c>
      <c r="C2155" s="170" t="s">
        <v>1892</v>
      </c>
      <c r="D2155" s="178" t="s">
        <v>1893</v>
      </c>
      <c r="E2155" s="121">
        <v>325366</v>
      </c>
      <c r="F2155" s="120">
        <v>0</v>
      </c>
    </row>
    <row r="2156" spans="1:6" ht="24">
      <c r="A2156" s="190">
        <v>540806</v>
      </c>
      <c r="B2156" s="176" t="s">
        <v>2722</v>
      </c>
      <c r="C2156" s="170" t="s">
        <v>1894</v>
      </c>
      <c r="D2156" s="178" t="s">
        <v>1895</v>
      </c>
      <c r="E2156" s="121">
        <v>29489</v>
      </c>
      <c r="F2156" s="120">
        <v>0</v>
      </c>
    </row>
    <row r="2157" spans="1:6" ht="24">
      <c r="A2157" s="190">
        <v>540806</v>
      </c>
      <c r="B2157" s="176" t="s">
        <v>2722</v>
      </c>
      <c r="C2157" s="170" t="s">
        <v>1896</v>
      </c>
      <c r="D2157" s="178" t="s">
        <v>1897</v>
      </c>
      <c r="E2157" s="121">
        <v>71876</v>
      </c>
      <c r="F2157" s="120">
        <v>0</v>
      </c>
    </row>
    <row r="2158" spans="1:6" ht="24">
      <c r="A2158" s="190">
        <v>540806</v>
      </c>
      <c r="B2158" s="176" t="s">
        <v>2722</v>
      </c>
      <c r="C2158" s="170" t="s">
        <v>1898</v>
      </c>
      <c r="D2158" s="178" t="s">
        <v>1899</v>
      </c>
      <c r="E2158" s="121">
        <v>320118</v>
      </c>
      <c r="F2158" s="120">
        <v>0</v>
      </c>
    </row>
    <row r="2159" spans="1:6" ht="24">
      <c r="A2159" s="190">
        <v>540806</v>
      </c>
      <c r="B2159" s="176" t="s">
        <v>2722</v>
      </c>
      <c r="C2159" s="170">
        <v>218325483</v>
      </c>
      <c r="D2159" s="178" t="s">
        <v>1006</v>
      </c>
      <c r="E2159" s="121">
        <v>19500</v>
      </c>
      <c r="F2159" s="120">
        <v>0</v>
      </c>
    </row>
    <row r="2160" spans="1:6" ht="24">
      <c r="A2160" s="190">
        <v>540806</v>
      </c>
      <c r="B2160" s="176" t="s">
        <v>2722</v>
      </c>
      <c r="C2160" s="170" t="s">
        <v>1900</v>
      </c>
      <c r="D2160" s="178" t="s">
        <v>1901</v>
      </c>
      <c r="E2160" s="121">
        <v>86196</v>
      </c>
      <c r="F2160" s="120">
        <v>0</v>
      </c>
    </row>
    <row r="2161" spans="1:6" ht="24">
      <c r="A2161" s="190">
        <v>540806</v>
      </c>
      <c r="B2161" s="176" t="s">
        <v>2722</v>
      </c>
      <c r="C2161" s="170" t="s">
        <v>1902</v>
      </c>
      <c r="D2161" s="178" t="s">
        <v>1903</v>
      </c>
      <c r="E2161" s="121">
        <v>43569</v>
      </c>
      <c r="F2161" s="120">
        <v>0</v>
      </c>
    </row>
    <row r="2162" spans="1:6" ht="24">
      <c r="A2162" s="190">
        <v>540806</v>
      </c>
      <c r="B2162" s="176" t="s">
        <v>2722</v>
      </c>
      <c r="C2162" s="170" t="s">
        <v>1904</v>
      </c>
      <c r="D2162" s="178" t="s">
        <v>1905</v>
      </c>
      <c r="E2162" s="121">
        <v>27949</v>
      </c>
      <c r="F2162" s="120">
        <v>0</v>
      </c>
    </row>
    <row r="2163" spans="1:6" ht="24">
      <c r="A2163" s="190">
        <v>540806</v>
      </c>
      <c r="B2163" s="176" t="s">
        <v>2722</v>
      </c>
      <c r="C2163" s="170" t="s">
        <v>1906</v>
      </c>
      <c r="D2163" s="178" t="s">
        <v>1907</v>
      </c>
      <c r="E2163" s="121">
        <v>46068</v>
      </c>
      <c r="F2163" s="120">
        <v>0</v>
      </c>
    </row>
    <row r="2164" spans="1:6" ht="24">
      <c r="A2164" s="190">
        <v>540806</v>
      </c>
      <c r="B2164" s="176" t="s">
        <v>2722</v>
      </c>
      <c r="C2164" s="170">
        <v>210625506</v>
      </c>
      <c r="D2164" s="178" t="s">
        <v>1908</v>
      </c>
      <c r="E2164" s="121">
        <v>30338</v>
      </c>
      <c r="F2164" s="120">
        <v>0</v>
      </c>
    </row>
    <row r="2165" spans="1:6" ht="24">
      <c r="A2165" s="190">
        <v>540806</v>
      </c>
      <c r="B2165" s="176" t="s">
        <v>2722</v>
      </c>
      <c r="C2165" s="170" t="s">
        <v>1909</v>
      </c>
      <c r="D2165" s="178" t="s">
        <v>1910</v>
      </c>
      <c r="E2165" s="121">
        <v>198007</v>
      </c>
      <c r="F2165" s="120">
        <v>0</v>
      </c>
    </row>
    <row r="2166" spans="1:6" ht="24">
      <c r="A2166" s="190">
        <v>540806</v>
      </c>
      <c r="B2166" s="176" t="s">
        <v>2722</v>
      </c>
      <c r="C2166" s="170" t="s">
        <v>1911</v>
      </c>
      <c r="D2166" s="178" t="s">
        <v>1912</v>
      </c>
      <c r="E2166" s="121">
        <v>47800</v>
      </c>
      <c r="F2166" s="120">
        <v>0</v>
      </c>
    </row>
    <row r="2167" spans="1:6" ht="24">
      <c r="A2167" s="190">
        <v>540806</v>
      </c>
      <c r="B2167" s="176" t="s">
        <v>2722</v>
      </c>
      <c r="C2167" s="170" t="s">
        <v>1913</v>
      </c>
      <c r="D2167" s="178" t="s">
        <v>1914</v>
      </c>
      <c r="E2167" s="121">
        <v>40602</v>
      </c>
      <c r="F2167" s="120">
        <v>0</v>
      </c>
    </row>
    <row r="2168" spans="1:6" ht="24">
      <c r="A2168" s="190">
        <v>540806</v>
      </c>
      <c r="B2168" s="176" t="s">
        <v>2722</v>
      </c>
      <c r="C2168" s="170" t="s">
        <v>1915</v>
      </c>
      <c r="D2168" s="178" t="s">
        <v>1916</v>
      </c>
      <c r="E2168" s="121">
        <v>51559</v>
      </c>
      <c r="F2168" s="120">
        <v>0</v>
      </c>
    </row>
    <row r="2169" spans="1:6" ht="24">
      <c r="A2169" s="190">
        <v>540806</v>
      </c>
      <c r="B2169" s="176" t="s">
        <v>2722</v>
      </c>
      <c r="C2169" s="170" t="s">
        <v>1917</v>
      </c>
      <c r="D2169" s="178" t="s">
        <v>1918</v>
      </c>
      <c r="E2169" s="121">
        <v>97157</v>
      </c>
      <c r="F2169" s="120">
        <v>0</v>
      </c>
    </row>
    <row r="2170" spans="1:6" ht="24">
      <c r="A2170" s="190">
        <v>540806</v>
      </c>
      <c r="B2170" s="176" t="s">
        <v>2722</v>
      </c>
      <c r="C2170" s="170" t="s">
        <v>1919</v>
      </c>
      <c r="D2170" s="178" t="s">
        <v>1920</v>
      </c>
      <c r="E2170" s="121">
        <v>114597</v>
      </c>
      <c r="F2170" s="120">
        <v>0</v>
      </c>
    </row>
    <row r="2171" spans="1:6" ht="24">
      <c r="A2171" s="190">
        <v>540806</v>
      </c>
      <c r="B2171" s="176" t="s">
        <v>2722</v>
      </c>
      <c r="C2171" s="170" t="s">
        <v>1921</v>
      </c>
      <c r="D2171" s="178" t="s">
        <v>1922</v>
      </c>
      <c r="E2171" s="121">
        <v>24471</v>
      </c>
      <c r="F2171" s="120">
        <v>0</v>
      </c>
    </row>
    <row r="2172" spans="1:6" ht="24">
      <c r="A2172" s="190">
        <v>540806</v>
      </c>
      <c r="B2172" s="176" t="s">
        <v>2722</v>
      </c>
      <c r="C2172" s="170" t="s">
        <v>1923</v>
      </c>
      <c r="D2172" s="178" t="s">
        <v>1924</v>
      </c>
      <c r="E2172" s="121">
        <v>31732</v>
      </c>
      <c r="F2172" s="120">
        <v>0</v>
      </c>
    </row>
    <row r="2173" spans="1:6" ht="24">
      <c r="A2173" s="190">
        <v>540806</v>
      </c>
      <c r="B2173" s="176" t="s">
        <v>2722</v>
      </c>
      <c r="C2173" s="170" t="s">
        <v>1925</v>
      </c>
      <c r="D2173" s="178" t="s">
        <v>1926</v>
      </c>
      <c r="E2173" s="121">
        <v>39786</v>
      </c>
      <c r="F2173" s="120">
        <v>0</v>
      </c>
    </row>
    <row r="2174" spans="1:6" ht="24">
      <c r="A2174" s="190">
        <v>540806</v>
      </c>
      <c r="B2174" s="176" t="s">
        <v>2722</v>
      </c>
      <c r="C2174" s="170">
        <v>219625596</v>
      </c>
      <c r="D2174" s="178" t="s">
        <v>1927</v>
      </c>
      <c r="E2174" s="121">
        <v>69248</v>
      </c>
      <c r="F2174" s="120">
        <v>0</v>
      </c>
    </row>
    <row r="2175" spans="1:6" ht="24">
      <c r="A2175" s="190">
        <v>540806</v>
      </c>
      <c r="B2175" s="176" t="s">
        <v>2722</v>
      </c>
      <c r="C2175" s="169" t="s">
        <v>1928</v>
      </c>
      <c r="D2175" s="178" t="s">
        <v>1929</v>
      </c>
      <c r="E2175" s="121">
        <v>52805</v>
      </c>
      <c r="F2175" s="120">
        <v>0</v>
      </c>
    </row>
    <row r="2176" spans="1:6" ht="24">
      <c r="A2176" s="190">
        <v>540806</v>
      </c>
      <c r="B2176" s="176" t="s">
        <v>2722</v>
      </c>
      <c r="C2176" s="170" t="s">
        <v>1930</v>
      </c>
      <c r="D2176" s="178" t="s">
        <v>1931</v>
      </c>
      <c r="E2176" s="121">
        <v>55016</v>
      </c>
      <c r="F2176" s="120">
        <v>0</v>
      </c>
    </row>
    <row r="2177" spans="1:6" ht="24">
      <c r="A2177" s="190">
        <v>540806</v>
      </c>
      <c r="B2177" s="176" t="s">
        <v>2722</v>
      </c>
      <c r="C2177" s="170" t="s">
        <v>1932</v>
      </c>
      <c r="D2177" s="178" t="s">
        <v>1933</v>
      </c>
      <c r="E2177" s="121">
        <v>84711</v>
      </c>
      <c r="F2177" s="120">
        <v>0</v>
      </c>
    </row>
    <row r="2178" spans="1:6" ht="24">
      <c r="A2178" s="190">
        <v>540806</v>
      </c>
      <c r="B2178" s="176" t="s">
        <v>2722</v>
      </c>
      <c r="C2178" s="170" t="s">
        <v>1934</v>
      </c>
      <c r="D2178" s="178" t="s">
        <v>1935</v>
      </c>
      <c r="E2178" s="121">
        <v>80961</v>
      </c>
      <c r="F2178" s="120">
        <v>0</v>
      </c>
    </row>
    <row r="2179" spans="1:6" ht="24">
      <c r="A2179" s="190">
        <v>540806</v>
      </c>
      <c r="B2179" s="176" t="s">
        <v>2722</v>
      </c>
      <c r="C2179" s="170" t="s">
        <v>1936</v>
      </c>
      <c r="D2179" s="178" t="s">
        <v>1937</v>
      </c>
      <c r="E2179" s="121">
        <v>38363</v>
      </c>
      <c r="F2179" s="120">
        <v>0</v>
      </c>
    </row>
    <row r="2180" spans="1:6" ht="24">
      <c r="A2180" s="190">
        <v>540806</v>
      </c>
      <c r="B2180" s="176" t="s">
        <v>2722</v>
      </c>
      <c r="C2180" s="170" t="s">
        <v>1938</v>
      </c>
      <c r="D2180" s="178" t="s">
        <v>1249</v>
      </c>
      <c r="E2180" s="121">
        <v>55919</v>
      </c>
      <c r="F2180" s="120">
        <v>0</v>
      </c>
    </row>
    <row r="2181" spans="1:6" ht="24">
      <c r="A2181" s="190">
        <v>540806</v>
      </c>
      <c r="B2181" s="176" t="s">
        <v>2722</v>
      </c>
      <c r="C2181" s="170" t="s">
        <v>1939</v>
      </c>
      <c r="D2181" s="178" t="s">
        <v>1940</v>
      </c>
      <c r="E2181" s="121">
        <v>71483</v>
      </c>
      <c r="F2181" s="120">
        <v>0</v>
      </c>
    </row>
    <row r="2182" spans="1:6" ht="24">
      <c r="A2182" s="190">
        <v>540806</v>
      </c>
      <c r="B2182" s="176" t="s">
        <v>2722</v>
      </c>
      <c r="C2182" s="170" t="s">
        <v>1941</v>
      </c>
      <c r="D2182" s="178" t="s">
        <v>1942</v>
      </c>
      <c r="E2182" s="121">
        <v>84654</v>
      </c>
      <c r="F2182" s="120">
        <v>0</v>
      </c>
    </row>
    <row r="2183" spans="1:6" ht="24">
      <c r="A2183" s="190">
        <v>540806</v>
      </c>
      <c r="B2183" s="176" t="s">
        <v>2722</v>
      </c>
      <c r="C2183" s="170" t="s">
        <v>1943</v>
      </c>
      <c r="D2183" s="178" t="s">
        <v>1944</v>
      </c>
      <c r="E2183" s="121">
        <v>68964</v>
      </c>
      <c r="F2183" s="120">
        <v>0</v>
      </c>
    </row>
    <row r="2184" spans="1:6" ht="24">
      <c r="A2184" s="190">
        <v>540806</v>
      </c>
      <c r="B2184" s="176" t="s">
        <v>2722</v>
      </c>
      <c r="C2184" s="170" t="s">
        <v>1945</v>
      </c>
      <c r="D2184" s="178" t="s">
        <v>1946</v>
      </c>
      <c r="E2184" s="121">
        <v>184315</v>
      </c>
      <c r="F2184" s="120">
        <v>0</v>
      </c>
    </row>
    <row r="2185" spans="1:6" ht="24">
      <c r="A2185" s="190">
        <v>540806</v>
      </c>
      <c r="B2185" s="176" t="s">
        <v>2722</v>
      </c>
      <c r="C2185" s="170" t="s">
        <v>1947</v>
      </c>
      <c r="D2185" s="178" t="s">
        <v>1948</v>
      </c>
      <c r="E2185" s="121">
        <v>151142</v>
      </c>
      <c r="F2185" s="120">
        <v>0</v>
      </c>
    </row>
    <row r="2186" spans="1:6" ht="24">
      <c r="A2186" s="190">
        <v>540806</v>
      </c>
      <c r="B2186" s="176" t="s">
        <v>2722</v>
      </c>
      <c r="C2186" s="170" t="s">
        <v>1949</v>
      </c>
      <c r="D2186" s="178" t="s">
        <v>1950</v>
      </c>
      <c r="E2186" s="121">
        <v>87132</v>
      </c>
      <c r="F2186" s="120">
        <v>0</v>
      </c>
    </row>
    <row r="2187" spans="1:6" ht="24">
      <c r="A2187" s="190">
        <v>540806</v>
      </c>
      <c r="B2187" s="176" t="s">
        <v>2722</v>
      </c>
      <c r="C2187" s="170" t="s">
        <v>1951</v>
      </c>
      <c r="D2187" s="178" t="s">
        <v>1952</v>
      </c>
      <c r="E2187" s="121">
        <v>126152</v>
      </c>
      <c r="F2187" s="120">
        <v>0</v>
      </c>
    </row>
    <row r="2188" spans="1:6" ht="24">
      <c r="A2188" s="190">
        <v>540806</v>
      </c>
      <c r="B2188" s="176" t="s">
        <v>2722</v>
      </c>
      <c r="C2188" s="170" t="s">
        <v>1953</v>
      </c>
      <c r="D2188" s="178" t="s">
        <v>1954</v>
      </c>
      <c r="E2188" s="121">
        <v>85588</v>
      </c>
      <c r="F2188" s="120">
        <v>0</v>
      </c>
    </row>
    <row r="2189" spans="1:6" ht="24">
      <c r="A2189" s="190">
        <v>540806</v>
      </c>
      <c r="B2189" s="176" t="s">
        <v>2722</v>
      </c>
      <c r="C2189" s="170" t="s">
        <v>1955</v>
      </c>
      <c r="D2189" s="178" t="s">
        <v>1956</v>
      </c>
      <c r="E2189" s="121">
        <v>100182</v>
      </c>
      <c r="F2189" s="120">
        <v>0</v>
      </c>
    </row>
    <row r="2190" spans="1:6" ht="24">
      <c r="A2190" s="190">
        <v>540806</v>
      </c>
      <c r="B2190" s="176" t="s">
        <v>2722</v>
      </c>
      <c r="C2190" s="170" t="s">
        <v>1957</v>
      </c>
      <c r="D2190" s="178" t="s">
        <v>1958</v>
      </c>
      <c r="E2190" s="121">
        <v>39420</v>
      </c>
      <c r="F2190" s="120">
        <v>0</v>
      </c>
    </row>
    <row r="2191" spans="1:6" ht="24">
      <c r="A2191" s="190">
        <v>540806</v>
      </c>
      <c r="B2191" s="176" t="s">
        <v>2722</v>
      </c>
      <c r="C2191" s="170" t="s">
        <v>1959</v>
      </c>
      <c r="D2191" s="178" t="s">
        <v>1960</v>
      </c>
      <c r="E2191" s="121">
        <v>41994</v>
      </c>
      <c r="F2191" s="120">
        <v>0</v>
      </c>
    </row>
    <row r="2192" spans="1:6" ht="24">
      <c r="A2192" s="190">
        <v>540806</v>
      </c>
      <c r="B2192" s="176" t="s">
        <v>2722</v>
      </c>
      <c r="C2192" s="170" t="s">
        <v>1961</v>
      </c>
      <c r="D2192" s="178" t="s">
        <v>1962</v>
      </c>
      <c r="E2192" s="121">
        <v>34638</v>
      </c>
      <c r="F2192" s="120">
        <v>0</v>
      </c>
    </row>
    <row r="2193" spans="1:6" ht="24">
      <c r="A2193" s="190">
        <v>540806</v>
      </c>
      <c r="B2193" s="176" t="s">
        <v>2722</v>
      </c>
      <c r="C2193" s="170" t="s">
        <v>1963</v>
      </c>
      <c r="D2193" s="178" t="s">
        <v>1964</v>
      </c>
      <c r="E2193" s="121">
        <v>109684</v>
      </c>
      <c r="F2193" s="120">
        <v>0</v>
      </c>
    </row>
    <row r="2194" spans="1:6" ht="24">
      <c r="A2194" s="190">
        <v>540806</v>
      </c>
      <c r="B2194" s="176" t="s">
        <v>2722</v>
      </c>
      <c r="C2194" s="170" t="s">
        <v>1965</v>
      </c>
      <c r="D2194" s="178" t="s">
        <v>1966</v>
      </c>
      <c r="E2194" s="121">
        <v>56407</v>
      </c>
      <c r="F2194" s="120">
        <v>0</v>
      </c>
    </row>
    <row r="2195" spans="1:6" ht="24">
      <c r="A2195" s="190">
        <v>540806</v>
      </c>
      <c r="B2195" s="176" t="s">
        <v>2722</v>
      </c>
      <c r="C2195" s="170" t="s">
        <v>1967</v>
      </c>
      <c r="D2195" s="178" t="s">
        <v>1968</v>
      </c>
      <c r="E2195" s="121">
        <v>62885</v>
      </c>
      <c r="F2195" s="120">
        <v>0</v>
      </c>
    </row>
    <row r="2196" spans="1:6" ht="24">
      <c r="A2196" s="190">
        <v>540806</v>
      </c>
      <c r="B2196" s="176" t="s">
        <v>2722</v>
      </c>
      <c r="C2196" s="170" t="s">
        <v>1969</v>
      </c>
      <c r="D2196" s="178" t="s">
        <v>1970</v>
      </c>
      <c r="E2196" s="121">
        <v>96151</v>
      </c>
      <c r="F2196" s="120">
        <v>0</v>
      </c>
    </row>
    <row r="2197" spans="1:6" ht="24">
      <c r="A2197" s="190">
        <v>540806</v>
      </c>
      <c r="B2197" s="176" t="s">
        <v>2722</v>
      </c>
      <c r="C2197" s="170" t="s">
        <v>1971</v>
      </c>
      <c r="D2197" s="178" t="s">
        <v>1972</v>
      </c>
      <c r="E2197" s="121">
        <v>30610</v>
      </c>
      <c r="F2197" s="120">
        <v>0</v>
      </c>
    </row>
    <row r="2198" spans="1:6" ht="24">
      <c r="A2198" s="190">
        <v>540806</v>
      </c>
      <c r="B2198" s="176" t="s">
        <v>2722</v>
      </c>
      <c r="C2198" s="170" t="s">
        <v>1973</v>
      </c>
      <c r="D2198" s="178" t="s">
        <v>1974</v>
      </c>
      <c r="E2198" s="121">
        <v>18772</v>
      </c>
      <c r="F2198" s="120">
        <v>0</v>
      </c>
    </row>
    <row r="2199" spans="1:6" ht="24">
      <c r="A2199" s="190">
        <v>540806</v>
      </c>
      <c r="B2199" s="176" t="s">
        <v>2722</v>
      </c>
      <c r="C2199" s="170" t="s">
        <v>1975</v>
      </c>
      <c r="D2199" s="178" t="s">
        <v>1976</v>
      </c>
      <c r="E2199" s="121">
        <v>104850</v>
      </c>
      <c r="F2199" s="120">
        <v>0</v>
      </c>
    </row>
    <row r="2200" spans="1:6" ht="24">
      <c r="A2200" s="190">
        <v>540806</v>
      </c>
      <c r="B2200" s="176" t="s">
        <v>2722</v>
      </c>
      <c r="C2200" s="170" t="s">
        <v>1977</v>
      </c>
      <c r="D2200" s="178" t="s">
        <v>1978</v>
      </c>
      <c r="E2200" s="121">
        <v>180017</v>
      </c>
      <c r="F2200" s="120">
        <v>0</v>
      </c>
    </row>
    <row r="2201" spans="1:6" ht="24">
      <c r="A2201" s="190">
        <v>540806</v>
      </c>
      <c r="B2201" s="176" t="s">
        <v>2722</v>
      </c>
      <c r="C2201" s="170" t="s">
        <v>1979</v>
      </c>
      <c r="D2201" s="178" t="s">
        <v>1980</v>
      </c>
      <c r="E2201" s="121">
        <v>38156</v>
      </c>
      <c r="F2201" s="120">
        <v>0</v>
      </c>
    </row>
    <row r="2202" spans="1:6" ht="24">
      <c r="A2202" s="190">
        <v>540806</v>
      </c>
      <c r="B2202" s="176" t="s">
        <v>2722</v>
      </c>
      <c r="C2202" s="170" t="s">
        <v>1981</v>
      </c>
      <c r="D2202" s="178" t="s">
        <v>1982</v>
      </c>
      <c r="E2202" s="121">
        <v>85839</v>
      </c>
      <c r="F2202" s="120">
        <v>0</v>
      </c>
    </row>
    <row r="2203" spans="1:6" ht="24">
      <c r="A2203" s="190">
        <v>540806</v>
      </c>
      <c r="B2203" s="176" t="s">
        <v>2722</v>
      </c>
      <c r="C2203" s="170" t="s">
        <v>1983</v>
      </c>
      <c r="D2203" s="178" t="s">
        <v>1984</v>
      </c>
      <c r="E2203" s="121">
        <v>45933</v>
      </c>
      <c r="F2203" s="120">
        <v>0</v>
      </c>
    </row>
    <row r="2204" spans="1:6" ht="24">
      <c r="A2204" s="190">
        <v>540806</v>
      </c>
      <c r="B2204" s="176" t="s">
        <v>2722</v>
      </c>
      <c r="C2204" s="170" t="s">
        <v>1985</v>
      </c>
      <c r="D2204" s="178" t="s">
        <v>1986</v>
      </c>
      <c r="E2204" s="121">
        <v>226827</v>
      </c>
      <c r="F2204" s="120">
        <v>0</v>
      </c>
    </row>
    <row r="2205" spans="1:6" ht="24">
      <c r="A2205" s="190">
        <v>540806</v>
      </c>
      <c r="B2205" s="176" t="s">
        <v>2722</v>
      </c>
      <c r="C2205" s="170" t="s">
        <v>1987</v>
      </c>
      <c r="D2205" s="178" t="s">
        <v>1988</v>
      </c>
      <c r="E2205" s="121">
        <v>49199</v>
      </c>
      <c r="F2205" s="120">
        <v>0</v>
      </c>
    </row>
    <row r="2206" spans="1:6" ht="24">
      <c r="A2206" s="190">
        <v>540806</v>
      </c>
      <c r="B2206" s="176" t="s">
        <v>2722</v>
      </c>
      <c r="C2206" s="170" t="s">
        <v>1989</v>
      </c>
      <c r="D2206" s="178" t="s">
        <v>1990</v>
      </c>
      <c r="E2206" s="121">
        <v>30822</v>
      </c>
      <c r="F2206" s="120">
        <v>0</v>
      </c>
    </row>
    <row r="2207" spans="1:6" ht="24">
      <c r="A2207" s="190">
        <v>540806</v>
      </c>
      <c r="B2207" s="176" t="s">
        <v>2722</v>
      </c>
      <c r="C2207" s="170" t="s">
        <v>1991</v>
      </c>
      <c r="D2207" s="178" t="s">
        <v>1992</v>
      </c>
      <c r="E2207" s="121">
        <v>55167</v>
      </c>
      <c r="F2207" s="120">
        <v>0</v>
      </c>
    </row>
    <row r="2208" spans="1:6" ht="24">
      <c r="A2208" s="190">
        <v>540806</v>
      </c>
      <c r="B2208" s="176" t="s">
        <v>2722</v>
      </c>
      <c r="C2208" s="170" t="s">
        <v>1993</v>
      </c>
      <c r="D2208" s="178" t="s">
        <v>1994</v>
      </c>
      <c r="E2208" s="121">
        <v>31458</v>
      </c>
      <c r="F2208" s="120">
        <v>0</v>
      </c>
    </row>
    <row r="2209" spans="1:6" ht="24">
      <c r="A2209" s="190">
        <v>540806</v>
      </c>
      <c r="B2209" s="176" t="s">
        <v>2722</v>
      </c>
      <c r="C2209" s="170" t="s">
        <v>1995</v>
      </c>
      <c r="D2209" s="178" t="s">
        <v>1996</v>
      </c>
      <c r="E2209" s="121">
        <v>17379</v>
      </c>
      <c r="F2209" s="120">
        <v>0</v>
      </c>
    </row>
    <row r="2210" spans="1:6" ht="24">
      <c r="A2210" s="190">
        <v>540806</v>
      </c>
      <c r="B2210" s="176" t="s">
        <v>2722</v>
      </c>
      <c r="C2210" s="169" t="s">
        <v>1997</v>
      </c>
      <c r="D2210" s="178" t="s">
        <v>1998</v>
      </c>
      <c r="E2210" s="121">
        <v>129398</v>
      </c>
      <c r="F2210" s="120">
        <v>0</v>
      </c>
    </row>
    <row r="2211" spans="1:6" ht="24">
      <c r="A2211" s="190">
        <v>540806</v>
      </c>
      <c r="B2211" s="176" t="s">
        <v>2722</v>
      </c>
      <c r="C2211" s="170" t="s">
        <v>1999</v>
      </c>
      <c r="D2211" s="178" t="s">
        <v>2000</v>
      </c>
      <c r="E2211" s="121">
        <v>166858</v>
      </c>
      <c r="F2211" s="120">
        <v>0</v>
      </c>
    </row>
    <row r="2212" spans="1:6" ht="24">
      <c r="A2212" s="190">
        <v>540806</v>
      </c>
      <c r="B2212" s="176" t="s">
        <v>2722</v>
      </c>
      <c r="C2212" s="170" t="s">
        <v>2001</v>
      </c>
      <c r="D2212" s="178" t="s">
        <v>2002</v>
      </c>
      <c r="E2212" s="121">
        <v>108577</v>
      </c>
      <c r="F2212" s="120">
        <v>0</v>
      </c>
    </row>
    <row r="2213" spans="1:6" ht="24">
      <c r="A2213" s="190">
        <v>540806</v>
      </c>
      <c r="B2213" s="176" t="s">
        <v>2722</v>
      </c>
      <c r="C2213" s="170" t="s">
        <v>2003</v>
      </c>
      <c r="D2213" s="178" t="s">
        <v>2004</v>
      </c>
      <c r="E2213" s="121">
        <v>148280</v>
      </c>
      <c r="F2213" s="120">
        <v>0</v>
      </c>
    </row>
    <row r="2214" spans="1:6" ht="24">
      <c r="A2214" s="190">
        <v>540806</v>
      </c>
      <c r="B2214" s="176" t="s">
        <v>2722</v>
      </c>
      <c r="C2214" s="170" t="s">
        <v>2005</v>
      </c>
      <c r="D2214" s="178" t="s">
        <v>2006</v>
      </c>
      <c r="E2214" s="121">
        <v>33848</v>
      </c>
      <c r="F2214" s="120">
        <v>0</v>
      </c>
    </row>
    <row r="2215" spans="1:6" ht="24">
      <c r="A2215" s="190">
        <v>540806</v>
      </c>
      <c r="B2215" s="176" t="s">
        <v>2722</v>
      </c>
      <c r="C2215" s="170" t="s">
        <v>2007</v>
      </c>
      <c r="D2215" s="178" t="s">
        <v>2008</v>
      </c>
      <c r="E2215" s="121">
        <v>571604</v>
      </c>
      <c r="F2215" s="120">
        <v>0</v>
      </c>
    </row>
    <row r="2216" spans="1:6" ht="24">
      <c r="A2216" s="190">
        <v>540806</v>
      </c>
      <c r="B2216" s="176" t="s">
        <v>2722</v>
      </c>
      <c r="C2216" s="170">
        <v>210127001</v>
      </c>
      <c r="D2216" s="178" t="s">
        <v>2009</v>
      </c>
      <c r="E2216" s="121">
        <v>1394077</v>
      </c>
      <c r="F2216" s="120">
        <v>0</v>
      </c>
    </row>
    <row r="2217" spans="1:6" ht="24">
      <c r="A2217" s="190">
        <v>540806</v>
      </c>
      <c r="B2217" s="176" t="s">
        <v>2722</v>
      </c>
      <c r="C2217" s="169" t="s">
        <v>2010</v>
      </c>
      <c r="D2217" s="178" t="s">
        <v>2011</v>
      </c>
      <c r="E2217" s="121">
        <v>92591</v>
      </c>
      <c r="F2217" s="120">
        <v>0</v>
      </c>
    </row>
    <row r="2218" spans="1:6" ht="24">
      <c r="A2218" s="190">
        <v>540806</v>
      </c>
      <c r="B2218" s="176" t="s">
        <v>2722</v>
      </c>
      <c r="C2218" s="169" t="s">
        <v>2012</v>
      </c>
      <c r="D2218" s="178" t="s">
        <v>2013</v>
      </c>
      <c r="E2218" s="121">
        <v>211576</v>
      </c>
      <c r="F2218" s="120">
        <v>0</v>
      </c>
    </row>
    <row r="2219" spans="1:6" ht="24">
      <c r="A2219" s="190">
        <v>540806</v>
      </c>
      <c r="B2219" s="176" t="s">
        <v>2722</v>
      </c>
      <c r="C2219" s="170">
        <v>215027050</v>
      </c>
      <c r="D2219" s="178" t="s">
        <v>2014</v>
      </c>
      <c r="E2219" s="121">
        <v>84248</v>
      </c>
      <c r="F2219" s="120">
        <v>0</v>
      </c>
    </row>
    <row r="2220" spans="1:6" ht="24">
      <c r="A2220" s="190">
        <v>540806</v>
      </c>
      <c r="B2220" s="176" t="s">
        <v>2722</v>
      </c>
      <c r="C2220" s="169">
        <v>217327073</v>
      </c>
      <c r="D2220" s="178" t="s">
        <v>2015</v>
      </c>
      <c r="E2220" s="121">
        <v>122516</v>
      </c>
      <c r="F2220" s="120">
        <v>0</v>
      </c>
    </row>
    <row r="2221" spans="1:6" ht="24">
      <c r="A2221" s="190">
        <v>540806</v>
      </c>
      <c r="B2221" s="176" t="s">
        <v>2722</v>
      </c>
      <c r="C2221" s="169" t="s">
        <v>2016</v>
      </c>
      <c r="D2221" s="178" t="s">
        <v>2017</v>
      </c>
      <c r="E2221" s="121">
        <v>89075</v>
      </c>
      <c r="F2221" s="120">
        <v>0</v>
      </c>
    </row>
    <row r="2222" spans="1:6" ht="24">
      <c r="A2222" s="190">
        <v>540806</v>
      </c>
      <c r="B2222" s="176" t="s">
        <v>2722</v>
      </c>
      <c r="C2222" s="170" t="s">
        <v>2018</v>
      </c>
      <c r="D2222" s="178" t="s">
        <v>2019</v>
      </c>
      <c r="E2222" s="121">
        <v>175873</v>
      </c>
      <c r="F2222" s="120">
        <v>0</v>
      </c>
    </row>
    <row r="2223" spans="1:6" ht="24">
      <c r="A2223" s="190">
        <v>540806</v>
      </c>
      <c r="B2223" s="176" t="s">
        <v>2722</v>
      </c>
      <c r="C2223" s="170" t="s">
        <v>2020</v>
      </c>
      <c r="D2223" s="178" t="s">
        <v>2021</v>
      </c>
      <c r="E2223" s="121">
        <v>130193</v>
      </c>
      <c r="F2223" s="120">
        <v>0</v>
      </c>
    </row>
    <row r="2224" spans="1:6" ht="24">
      <c r="A2224" s="190">
        <v>540806</v>
      </c>
      <c r="B2224" s="176" t="s">
        <v>2722</v>
      </c>
      <c r="C2224" s="170" t="s">
        <v>2022</v>
      </c>
      <c r="D2224" s="178" t="s">
        <v>2023</v>
      </c>
      <c r="E2224" s="121">
        <v>74692</v>
      </c>
      <c r="F2224" s="120">
        <v>0</v>
      </c>
    </row>
    <row r="2225" spans="1:6" ht="24">
      <c r="A2225" s="190">
        <v>540806</v>
      </c>
      <c r="B2225" s="176" t="s">
        <v>2722</v>
      </c>
      <c r="C2225" s="169" t="s">
        <v>2024</v>
      </c>
      <c r="D2225" s="178" t="s">
        <v>2025</v>
      </c>
      <c r="E2225" s="121">
        <v>76663</v>
      </c>
      <c r="F2225" s="120">
        <v>0</v>
      </c>
    </row>
    <row r="2226" spans="1:6" ht="24">
      <c r="A2226" s="190">
        <v>540806</v>
      </c>
      <c r="B2226" s="176" t="s">
        <v>2722</v>
      </c>
      <c r="C2226" s="170" t="s">
        <v>2026</v>
      </c>
      <c r="D2226" s="178" t="s">
        <v>2027</v>
      </c>
      <c r="E2226" s="121">
        <v>45294</v>
      </c>
      <c r="F2226" s="120">
        <v>0</v>
      </c>
    </row>
    <row r="2227" spans="1:6" ht="24">
      <c r="A2227" s="190">
        <v>540806</v>
      </c>
      <c r="B2227" s="176" t="s">
        <v>2722</v>
      </c>
      <c r="C2227" s="170" t="s">
        <v>2028</v>
      </c>
      <c r="D2227" s="178" t="s">
        <v>2029</v>
      </c>
      <c r="E2227" s="121">
        <v>170587</v>
      </c>
      <c r="F2227" s="120">
        <v>0</v>
      </c>
    </row>
    <row r="2228" spans="1:6" ht="24">
      <c r="A2228" s="190">
        <v>540806</v>
      </c>
      <c r="B2228" s="176" t="s">
        <v>2722</v>
      </c>
      <c r="C2228" s="170" t="s">
        <v>2030</v>
      </c>
      <c r="D2228" s="178" t="s">
        <v>2031</v>
      </c>
      <c r="E2228" s="121">
        <v>53107</v>
      </c>
      <c r="F2228" s="120">
        <v>0</v>
      </c>
    </row>
    <row r="2229" spans="1:6" ht="24">
      <c r="A2229" s="190">
        <v>540806</v>
      </c>
      <c r="B2229" s="176" t="s">
        <v>2722</v>
      </c>
      <c r="C2229" s="170" t="s">
        <v>2032</v>
      </c>
      <c r="D2229" s="178" t="s">
        <v>2033</v>
      </c>
      <c r="E2229" s="121">
        <v>140874</v>
      </c>
      <c r="F2229" s="120">
        <v>0</v>
      </c>
    </row>
    <row r="2230" spans="1:6" ht="24">
      <c r="A2230" s="190">
        <v>540806</v>
      </c>
      <c r="B2230" s="176" t="s">
        <v>2722</v>
      </c>
      <c r="C2230" s="170">
        <v>216127361</v>
      </c>
      <c r="D2230" s="178" t="s">
        <v>2034</v>
      </c>
      <c r="E2230" s="121">
        <v>353231</v>
      </c>
      <c r="F2230" s="120">
        <v>0</v>
      </c>
    </row>
    <row r="2231" spans="1:6" ht="24">
      <c r="A2231" s="190">
        <v>540806</v>
      </c>
      <c r="B2231" s="176" t="s">
        <v>2722</v>
      </c>
      <c r="C2231" s="170">
        <v>217227372</v>
      </c>
      <c r="D2231" s="178" t="s">
        <v>2035</v>
      </c>
      <c r="E2231" s="121">
        <v>28775</v>
      </c>
      <c r="F2231" s="120">
        <v>0</v>
      </c>
    </row>
    <row r="2232" spans="1:6" ht="24">
      <c r="A2232" s="190">
        <v>540806</v>
      </c>
      <c r="B2232" s="176" t="s">
        <v>2722</v>
      </c>
      <c r="C2232" s="170">
        <v>211327413</v>
      </c>
      <c r="D2232" s="178" t="s">
        <v>2036</v>
      </c>
      <c r="E2232" s="121">
        <v>104823</v>
      </c>
      <c r="F2232" s="120">
        <v>0</v>
      </c>
    </row>
    <row r="2233" spans="1:6" ht="24">
      <c r="A2233" s="190">
        <v>540806</v>
      </c>
      <c r="B2233" s="176" t="s">
        <v>2722</v>
      </c>
      <c r="C2233" s="169">
        <v>212527425</v>
      </c>
      <c r="D2233" s="178" t="s">
        <v>2037</v>
      </c>
      <c r="E2233" s="121">
        <v>93499</v>
      </c>
      <c r="F2233" s="120">
        <v>0</v>
      </c>
    </row>
    <row r="2234" spans="1:6" ht="24">
      <c r="A2234" s="190">
        <v>540806</v>
      </c>
      <c r="B2234" s="176" t="s">
        <v>2722</v>
      </c>
      <c r="C2234" s="169">
        <v>213027430</v>
      </c>
      <c r="D2234" s="178" t="s">
        <v>2038</v>
      </c>
      <c r="E2234" s="121">
        <v>142624</v>
      </c>
      <c r="F2234" s="120">
        <v>0</v>
      </c>
    </row>
    <row r="2235" spans="1:6" ht="24">
      <c r="A2235" s="190">
        <v>540806</v>
      </c>
      <c r="B2235" s="176" t="s">
        <v>2722</v>
      </c>
      <c r="C2235" s="169">
        <v>215027450</v>
      </c>
      <c r="D2235" s="178" t="s">
        <v>2039</v>
      </c>
      <c r="E2235" s="121">
        <v>106982</v>
      </c>
      <c r="F2235" s="120">
        <v>0</v>
      </c>
    </row>
    <row r="2236" spans="1:6" ht="24">
      <c r="A2236" s="190">
        <v>540806</v>
      </c>
      <c r="B2236" s="176" t="s">
        <v>2722</v>
      </c>
      <c r="C2236" s="169">
        <v>219127491</v>
      </c>
      <c r="D2236" s="178" t="s">
        <v>2040</v>
      </c>
      <c r="E2236" s="121">
        <v>62556</v>
      </c>
      <c r="F2236" s="120">
        <v>0</v>
      </c>
    </row>
    <row r="2237" spans="1:6" ht="24">
      <c r="A2237" s="190">
        <v>540806</v>
      </c>
      <c r="B2237" s="176" t="s">
        <v>2722</v>
      </c>
      <c r="C2237" s="170">
        <v>219527495</v>
      </c>
      <c r="D2237" s="178" t="s">
        <v>2041</v>
      </c>
      <c r="E2237" s="121">
        <v>73126</v>
      </c>
      <c r="F2237" s="120">
        <v>0</v>
      </c>
    </row>
    <row r="2238" spans="1:6" ht="24">
      <c r="A2238" s="190">
        <v>540806</v>
      </c>
      <c r="B2238" s="176" t="s">
        <v>2722</v>
      </c>
      <c r="C2238" s="170">
        <v>218027580</v>
      </c>
      <c r="D2238" s="178" t="s">
        <v>2042</v>
      </c>
      <c r="E2238" s="121">
        <v>61643</v>
      </c>
      <c r="F2238" s="120">
        <v>0</v>
      </c>
    </row>
    <row r="2239" spans="1:6" ht="24">
      <c r="A2239" s="190">
        <v>540806</v>
      </c>
      <c r="B2239" s="176" t="s">
        <v>2722</v>
      </c>
      <c r="C2239" s="170">
        <v>210027600</v>
      </c>
      <c r="D2239" s="178" t="s">
        <v>2043</v>
      </c>
      <c r="E2239" s="121">
        <v>96540</v>
      </c>
      <c r="F2239" s="120">
        <v>0</v>
      </c>
    </row>
    <row r="2240" spans="1:6" ht="24">
      <c r="A2240" s="190">
        <v>540806</v>
      </c>
      <c r="B2240" s="176" t="s">
        <v>2722</v>
      </c>
      <c r="C2240" s="170">
        <v>211417614</v>
      </c>
      <c r="D2240" s="178" t="s">
        <v>2044</v>
      </c>
      <c r="E2240" s="121">
        <v>291535</v>
      </c>
      <c r="F2240" s="120">
        <v>0</v>
      </c>
    </row>
    <row r="2241" spans="1:6" ht="24">
      <c r="A2241" s="190">
        <v>540806</v>
      </c>
      <c r="B2241" s="176" t="s">
        <v>2722</v>
      </c>
      <c r="C2241" s="170">
        <v>216027660</v>
      </c>
      <c r="D2241" s="178" t="s">
        <v>2045</v>
      </c>
      <c r="E2241" s="121">
        <v>42538</v>
      </c>
      <c r="F2241" s="120">
        <v>0</v>
      </c>
    </row>
    <row r="2242" spans="1:6" ht="24">
      <c r="A2242" s="190">
        <v>540806</v>
      </c>
      <c r="B2242" s="176" t="s">
        <v>2722</v>
      </c>
      <c r="C2242" s="170">
        <v>214527745</v>
      </c>
      <c r="D2242" s="178" t="s">
        <v>2046</v>
      </c>
      <c r="E2242" s="121">
        <v>42844</v>
      </c>
      <c r="F2242" s="120">
        <v>0</v>
      </c>
    </row>
    <row r="2243" spans="1:6" ht="24">
      <c r="A2243" s="190">
        <v>540806</v>
      </c>
      <c r="B2243" s="176" t="s">
        <v>2722</v>
      </c>
      <c r="C2243" s="169" t="s">
        <v>2047</v>
      </c>
      <c r="D2243" s="178" t="s">
        <v>2048</v>
      </c>
      <c r="E2243" s="121">
        <v>212856</v>
      </c>
      <c r="F2243" s="120">
        <v>0</v>
      </c>
    </row>
    <row r="2244" spans="1:6" ht="24">
      <c r="A2244" s="190">
        <v>540806</v>
      </c>
      <c r="B2244" s="176" t="s">
        <v>2722</v>
      </c>
      <c r="C2244" s="169">
        <v>210027800</v>
      </c>
      <c r="D2244" s="178" t="s">
        <v>2049</v>
      </c>
      <c r="E2244" s="121">
        <v>122161</v>
      </c>
      <c r="F2244" s="120">
        <v>0</v>
      </c>
    </row>
    <row r="2245" spans="1:6" ht="24">
      <c r="A2245" s="190">
        <v>540806</v>
      </c>
      <c r="B2245" s="176" t="s">
        <v>2722</v>
      </c>
      <c r="C2245" s="169">
        <v>211027810</v>
      </c>
      <c r="D2245" s="178" t="s">
        <v>2050</v>
      </c>
      <c r="E2245" s="121">
        <v>64924</v>
      </c>
      <c r="F2245" s="120">
        <v>0</v>
      </c>
    </row>
    <row r="2246" spans="1:6" ht="24">
      <c r="A2246" s="190">
        <v>540806</v>
      </c>
      <c r="B2246" s="176" t="s">
        <v>2722</v>
      </c>
      <c r="C2246" s="170" t="s">
        <v>2051</v>
      </c>
      <c r="D2246" s="178" t="s">
        <v>2052</v>
      </c>
      <c r="E2246" s="121">
        <v>168306</v>
      </c>
      <c r="F2246" s="120">
        <v>0</v>
      </c>
    </row>
    <row r="2247" spans="1:6" ht="24">
      <c r="A2247" s="190">
        <v>540806</v>
      </c>
      <c r="B2247" s="176" t="s">
        <v>2722</v>
      </c>
      <c r="C2247" s="170" t="s">
        <v>2053</v>
      </c>
      <c r="D2247" s="178" t="s">
        <v>2054</v>
      </c>
      <c r="E2247" s="121">
        <v>68611</v>
      </c>
      <c r="F2247" s="120">
        <v>0</v>
      </c>
    </row>
    <row r="2248" spans="1:6" ht="24">
      <c r="A2248" s="190">
        <v>540806</v>
      </c>
      <c r="B2248" s="176" t="s">
        <v>2722</v>
      </c>
      <c r="C2248" s="170" t="s">
        <v>2055</v>
      </c>
      <c r="D2248" s="178" t="s">
        <v>2056</v>
      </c>
      <c r="E2248" s="121">
        <v>135767</v>
      </c>
      <c r="F2248" s="120">
        <v>0</v>
      </c>
    </row>
    <row r="2249" spans="1:6" ht="24">
      <c r="A2249" s="190">
        <v>540806</v>
      </c>
      <c r="B2249" s="176" t="s">
        <v>2722</v>
      </c>
      <c r="C2249" s="170" t="s">
        <v>2057</v>
      </c>
      <c r="D2249" s="178" t="s">
        <v>2058</v>
      </c>
      <c r="E2249" s="121">
        <v>175011</v>
      </c>
      <c r="F2249" s="120">
        <v>0</v>
      </c>
    </row>
    <row r="2250" spans="1:6" ht="24">
      <c r="A2250" s="190">
        <v>540806</v>
      </c>
      <c r="B2250" s="176" t="s">
        <v>2722</v>
      </c>
      <c r="C2250" s="170" t="s">
        <v>2059</v>
      </c>
      <c r="D2250" s="178" t="s">
        <v>2060</v>
      </c>
      <c r="E2250" s="121">
        <v>28913</v>
      </c>
      <c r="F2250" s="120">
        <v>0</v>
      </c>
    </row>
    <row r="2251" spans="1:6" ht="24">
      <c r="A2251" s="190">
        <v>540806</v>
      </c>
      <c r="B2251" s="176" t="s">
        <v>2722</v>
      </c>
      <c r="C2251" s="170" t="s">
        <v>2061</v>
      </c>
      <c r="D2251" s="178" t="s">
        <v>2062</v>
      </c>
      <c r="E2251" s="121">
        <v>62677</v>
      </c>
      <c r="F2251" s="120">
        <v>0</v>
      </c>
    </row>
    <row r="2252" spans="1:6" ht="24">
      <c r="A2252" s="190">
        <v>540806</v>
      </c>
      <c r="B2252" s="176" t="s">
        <v>2722</v>
      </c>
      <c r="C2252" s="170" t="s">
        <v>2063</v>
      </c>
      <c r="D2252" s="178" t="s">
        <v>2064</v>
      </c>
      <c r="E2252" s="121">
        <v>229259</v>
      </c>
      <c r="F2252" s="120">
        <v>0</v>
      </c>
    </row>
    <row r="2253" spans="1:6" ht="24">
      <c r="A2253" s="190">
        <v>540806</v>
      </c>
      <c r="B2253" s="176" t="s">
        <v>2722</v>
      </c>
      <c r="C2253" s="170" t="s">
        <v>2065</v>
      </c>
      <c r="D2253" s="178" t="s">
        <v>2066</v>
      </c>
      <c r="E2253" s="121">
        <v>71358</v>
      </c>
      <c r="F2253" s="120">
        <v>0</v>
      </c>
    </row>
    <row r="2254" spans="1:6" ht="24">
      <c r="A2254" s="190">
        <v>540806</v>
      </c>
      <c r="B2254" s="176" t="s">
        <v>2722</v>
      </c>
      <c r="C2254" s="170">
        <v>214441244</v>
      </c>
      <c r="D2254" s="178" t="s">
        <v>2067</v>
      </c>
      <c r="E2254" s="121">
        <v>25917</v>
      </c>
      <c r="F2254" s="120">
        <v>0</v>
      </c>
    </row>
    <row r="2255" spans="1:6" ht="24">
      <c r="A2255" s="190">
        <v>540806</v>
      </c>
      <c r="B2255" s="176" t="s">
        <v>2722</v>
      </c>
      <c r="C2255" s="170" t="s">
        <v>2068</v>
      </c>
      <c r="D2255" s="178" t="s">
        <v>2069</v>
      </c>
      <c r="E2255" s="121">
        <v>462718</v>
      </c>
      <c r="F2255" s="120">
        <v>0</v>
      </c>
    </row>
    <row r="2256" spans="1:6" ht="24">
      <c r="A2256" s="190">
        <v>540806</v>
      </c>
      <c r="B2256" s="176" t="s">
        <v>2722</v>
      </c>
      <c r="C2256" s="169" t="s">
        <v>2070</v>
      </c>
      <c r="D2256" s="178" t="s">
        <v>2071</v>
      </c>
      <c r="E2256" s="121">
        <v>218992</v>
      </c>
      <c r="F2256" s="120">
        <v>0</v>
      </c>
    </row>
    <row r="2257" spans="1:6" ht="24">
      <c r="A2257" s="190">
        <v>540806</v>
      </c>
      <c r="B2257" s="176" t="s">
        <v>2722</v>
      </c>
      <c r="C2257" s="169" t="s">
        <v>2072</v>
      </c>
      <c r="D2257" s="178" t="s">
        <v>1181</v>
      </c>
      <c r="E2257" s="121">
        <v>137432</v>
      </c>
      <c r="F2257" s="120">
        <v>0</v>
      </c>
    </row>
    <row r="2258" spans="1:6" ht="24">
      <c r="A2258" s="190">
        <v>540806</v>
      </c>
      <c r="B2258" s="176" t="s">
        <v>2722</v>
      </c>
      <c r="C2258" s="169" t="s">
        <v>2073</v>
      </c>
      <c r="D2258" s="178" t="s">
        <v>2074</v>
      </c>
      <c r="E2258" s="121">
        <v>50080</v>
      </c>
      <c r="F2258" s="120">
        <v>0</v>
      </c>
    </row>
    <row r="2259" spans="1:6" ht="24">
      <c r="A2259" s="190">
        <v>540806</v>
      </c>
      <c r="B2259" s="176" t="s">
        <v>2722</v>
      </c>
      <c r="C2259" s="169" t="s">
        <v>2075</v>
      </c>
      <c r="D2259" s="178" t="s">
        <v>2076</v>
      </c>
      <c r="E2259" s="121">
        <v>92290</v>
      </c>
      <c r="F2259" s="120">
        <v>0</v>
      </c>
    </row>
    <row r="2260" spans="1:6" ht="24">
      <c r="A2260" s="190">
        <v>540806</v>
      </c>
      <c r="B2260" s="176" t="s">
        <v>2722</v>
      </c>
      <c r="C2260" s="169" t="s">
        <v>2077</v>
      </c>
      <c r="D2260" s="178" t="s">
        <v>2078</v>
      </c>
      <c r="E2260" s="121">
        <v>159060</v>
      </c>
      <c r="F2260" s="120">
        <v>0</v>
      </c>
    </row>
    <row r="2261" spans="1:6" ht="24">
      <c r="A2261" s="190">
        <v>540806</v>
      </c>
      <c r="B2261" s="176" t="s">
        <v>2722</v>
      </c>
      <c r="C2261" s="169" t="s">
        <v>2079</v>
      </c>
      <c r="D2261" s="178" t="s">
        <v>2080</v>
      </c>
      <c r="E2261" s="121">
        <v>98314</v>
      </c>
      <c r="F2261" s="120">
        <v>0</v>
      </c>
    </row>
    <row r="2262" spans="1:6" ht="24">
      <c r="A2262" s="190">
        <v>540806</v>
      </c>
      <c r="B2262" s="176" t="s">
        <v>2722</v>
      </c>
      <c r="C2262" s="169" t="s">
        <v>2081</v>
      </c>
      <c r="D2262" s="178" t="s">
        <v>2082</v>
      </c>
      <c r="E2262" s="121">
        <v>381963</v>
      </c>
      <c r="F2262" s="120">
        <v>0</v>
      </c>
    </row>
    <row r="2263" spans="1:6" ht="24">
      <c r="A2263" s="190">
        <v>540806</v>
      </c>
      <c r="B2263" s="176" t="s">
        <v>2722</v>
      </c>
      <c r="C2263" s="169">
        <v>218341483</v>
      </c>
      <c r="D2263" s="178" t="s">
        <v>2083</v>
      </c>
      <c r="E2263" s="121">
        <v>56467</v>
      </c>
      <c r="F2263" s="120">
        <v>0</v>
      </c>
    </row>
    <row r="2264" spans="1:6" ht="24">
      <c r="A2264" s="190">
        <v>540806</v>
      </c>
      <c r="B2264" s="176" t="s">
        <v>2722</v>
      </c>
      <c r="C2264" s="169" t="s">
        <v>2084</v>
      </c>
      <c r="D2264" s="178" t="s">
        <v>2085</v>
      </c>
      <c r="E2264" s="121">
        <v>72337</v>
      </c>
      <c r="F2264" s="120">
        <v>0</v>
      </c>
    </row>
    <row r="2265" spans="1:6" ht="24">
      <c r="A2265" s="190">
        <v>540806</v>
      </c>
      <c r="B2265" s="176" t="s">
        <v>2722</v>
      </c>
      <c r="C2265" s="169" t="s">
        <v>2086</v>
      </c>
      <c r="D2265" s="178" t="s">
        <v>2087</v>
      </c>
      <c r="E2265" s="121">
        <v>41996</v>
      </c>
      <c r="F2265" s="120">
        <v>0</v>
      </c>
    </row>
    <row r="2266" spans="1:6" ht="24">
      <c r="A2266" s="190">
        <v>540806</v>
      </c>
      <c r="B2266" s="176" t="s">
        <v>2722</v>
      </c>
      <c r="C2266" s="169" t="s">
        <v>2088</v>
      </c>
      <c r="D2266" s="178" t="s">
        <v>2089</v>
      </c>
      <c r="E2266" s="121">
        <v>174060</v>
      </c>
      <c r="F2266" s="120">
        <v>0</v>
      </c>
    </row>
    <row r="2267" spans="1:6" ht="24">
      <c r="A2267" s="190">
        <v>540806</v>
      </c>
      <c r="B2267" s="176" t="s">
        <v>2722</v>
      </c>
      <c r="C2267" s="169" t="s">
        <v>2090</v>
      </c>
      <c r="D2267" s="178" t="s">
        <v>1636</v>
      </c>
      <c r="E2267" s="121">
        <v>80118</v>
      </c>
      <c r="F2267" s="120">
        <v>0</v>
      </c>
    </row>
    <row r="2268" spans="1:6" ht="24">
      <c r="A2268" s="190">
        <v>540806</v>
      </c>
      <c r="B2268" s="176" t="s">
        <v>2722</v>
      </c>
      <c r="C2268" s="169">
        <v>214841548</v>
      </c>
      <c r="D2268" s="178" t="s">
        <v>2091</v>
      </c>
      <c r="E2268" s="121">
        <v>97773</v>
      </c>
      <c r="F2268" s="120">
        <v>0</v>
      </c>
    </row>
    <row r="2269" spans="1:6" ht="24">
      <c r="A2269" s="190">
        <v>540806</v>
      </c>
      <c r="B2269" s="176" t="s">
        <v>2722</v>
      </c>
      <c r="C2269" s="169" t="s">
        <v>2092</v>
      </c>
      <c r="D2269" s="178" t="s">
        <v>2093</v>
      </c>
      <c r="E2269" s="121">
        <v>757830</v>
      </c>
      <c r="F2269" s="120">
        <v>0</v>
      </c>
    </row>
    <row r="2270" spans="1:6" ht="24">
      <c r="A2270" s="190">
        <v>540806</v>
      </c>
      <c r="B2270" s="176" t="s">
        <v>2722</v>
      </c>
      <c r="C2270" s="169" t="s">
        <v>2094</v>
      </c>
      <c r="D2270" s="178" t="s">
        <v>2095</v>
      </c>
      <c r="E2270" s="121">
        <v>136005</v>
      </c>
      <c r="F2270" s="120">
        <v>0</v>
      </c>
    </row>
    <row r="2271" spans="1:6" ht="24">
      <c r="A2271" s="190">
        <v>540806</v>
      </c>
      <c r="B2271" s="176" t="s">
        <v>2722</v>
      </c>
      <c r="C2271" s="169" t="s">
        <v>2096</v>
      </c>
      <c r="D2271" s="178" t="s">
        <v>2097</v>
      </c>
      <c r="E2271" s="121">
        <v>69400</v>
      </c>
      <c r="F2271" s="120">
        <v>0</v>
      </c>
    </row>
    <row r="2272" spans="1:6" ht="24">
      <c r="A2272" s="190">
        <v>540806</v>
      </c>
      <c r="B2272" s="176" t="s">
        <v>2722</v>
      </c>
      <c r="C2272" s="169" t="s">
        <v>2098</v>
      </c>
      <c r="D2272" s="178" t="s">
        <v>2099</v>
      </c>
      <c r="E2272" s="121">
        <v>204722</v>
      </c>
      <c r="F2272" s="120">
        <v>0</v>
      </c>
    </row>
    <row r="2273" spans="1:6" ht="24">
      <c r="A2273" s="190">
        <v>540806</v>
      </c>
      <c r="B2273" s="176" t="s">
        <v>2722</v>
      </c>
      <c r="C2273" s="169" t="s">
        <v>2100</v>
      </c>
      <c r="D2273" s="178" t="s">
        <v>1586</v>
      </c>
      <c r="E2273" s="121">
        <v>75605</v>
      </c>
      <c r="F2273" s="120">
        <v>0</v>
      </c>
    </row>
    <row r="2274" spans="1:6" ht="24">
      <c r="A2274" s="190">
        <v>540806</v>
      </c>
      <c r="B2274" s="176" t="s">
        <v>2722</v>
      </c>
      <c r="C2274" s="169" t="s">
        <v>2101</v>
      </c>
      <c r="D2274" s="178" t="s">
        <v>2102</v>
      </c>
      <c r="E2274" s="121">
        <v>110641</v>
      </c>
      <c r="F2274" s="120">
        <v>0</v>
      </c>
    </row>
    <row r="2275" spans="1:6" ht="24">
      <c r="A2275" s="190">
        <v>540806</v>
      </c>
      <c r="B2275" s="176" t="s">
        <v>2722</v>
      </c>
      <c r="C2275" s="169">
        <v>219141791</v>
      </c>
      <c r="D2275" s="178" t="s">
        <v>2103</v>
      </c>
      <c r="E2275" s="121">
        <v>126013</v>
      </c>
      <c r="F2275" s="120">
        <v>0</v>
      </c>
    </row>
    <row r="2276" spans="1:6" ht="24">
      <c r="A2276" s="190">
        <v>540806</v>
      </c>
      <c r="B2276" s="176" t="s">
        <v>2722</v>
      </c>
      <c r="C2276" s="169" t="s">
        <v>2104</v>
      </c>
      <c r="D2276" s="178" t="s">
        <v>2105</v>
      </c>
      <c r="E2276" s="121">
        <v>71485</v>
      </c>
      <c r="F2276" s="120">
        <v>0</v>
      </c>
    </row>
    <row r="2277" spans="1:6" ht="24">
      <c r="A2277" s="190">
        <v>540806</v>
      </c>
      <c r="B2277" s="176" t="s">
        <v>2722</v>
      </c>
      <c r="C2277" s="169" t="s">
        <v>2106</v>
      </c>
      <c r="D2277" s="178" t="s">
        <v>2107</v>
      </c>
      <c r="E2277" s="121">
        <v>111667</v>
      </c>
      <c r="F2277" s="120">
        <v>0</v>
      </c>
    </row>
    <row r="2278" spans="1:6" ht="24">
      <c r="A2278" s="190">
        <v>540806</v>
      </c>
      <c r="B2278" s="176" t="s">
        <v>2722</v>
      </c>
      <c r="C2278" s="169" t="s">
        <v>2108</v>
      </c>
      <c r="D2278" s="178" t="s">
        <v>2109</v>
      </c>
      <c r="E2278" s="121">
        <v>62766</v>
      </c>
      <c r="F2278" s="120">
        <v>0</v>
      </c>
    </row>
    <row r="2279" spans="1:6" ht="24">
      <c r="A2279" s="190">
        <v>540806</v>
      </c>
      <c r="B2279" s="176" t="s">
        <v>2722</v>
      </c>
      <c r="C2279" s="169" t="s">
        <v>2110</v>
      </c>
      <c r="D2279" s="178" t="s">
        <v>2111</v>
      </c>
      <c r="E2279" s="121">
        <v>145208</v>
      </c>
      <c r="F2279" s="120">
        <v>0</v>
      </c>
    </row>
    <row r="2280" spans="1:6" ht="24">
      <c r="A2280" s="190">
        <v>540806</v>
      </c>
      <c r="B2280" s="176" t="s">
        <v>2722</v>
      </c>
      <c r="C2280" s="169" t="s">
        <v>2112</v>
      </c>
      <c r="D2280" s="178" t="s">
        <v>2113</v>
      </c>
      <c r="E2280" s="121">
        <v>55894</v>
      </c>
      <c r="F2280" s="120">
        <v>0</v>
      </c>
    </row>
    <row r="2281" spans="1:6" ht="24">
      <c r="A2281" s="190">
        <v>540806</v>
      </c>
      <c r="B2281" s="176" t="s">
        <v>2722</v>
      </c>
      <c r="C2281" s="169" t="s">
        <v>2114</v>
      </c>
      <c r="D2281" s="178" t="s">
        <v>2115</v>
      </c>
      <c r="E2281" s="121">
        <v>64005</v>
      </c>
      <c r="F2281" s="120">
        <v>0</v>
      </c>
    </row>
    <row r="2282" spans="1:6" ht="24">
      <c r="A2282" s="190">
        <v>540806</v>
      </c>
      <c r="B2282" s="176" t="s">
        <v>2722</v>
      </c>
      <c r="C2282" s="170" t="s">
        <v>2116</v>
      </c>
      <c r="D2282" s="178" t="s">
        <v>2117</v>
      </c>
      <c r="E2282" s="121">
        <v>1010164</v>
      </c>
      <c r="F2282" s="120">
        <v>0</v>
      </c>
    </row>
    <row r="2283" spans="1:6" ht="24">
      <c r="A2283" s="190">
        <v>540806</v>
      </c>
      <c r="B2283" s="176" t="s">
        <v>2722</v>
      </c>
      <c r="C2283" s="170" t="s">
        <v>2118</v>
      </c>
      <c r="D2283" s="178" t="s">
        <v>1646</v>
      </c>
      <c r="E2283" s="121">
        <v>94668</v>
      </c>
      <c r="F2283" s="120">
        <v>0</v>
      </c>
    </row>
    <row r="2284" spans="1:6" ht="24">
      <c r="A2284" s="190">
        <v>540806</v>
      </c>
      <c r="B2284" s="176" t="s">
        <v>2722</v>
      </c>
      <c r="C2284" s="170" t="s">
        <v>2119</v>
      </c>
      <c r="D2284" s="178" t="s">
        <v>2120</v>
      </c>
      <c r="E2284" s="121">
        <v>195108</v>
      </c>
      <c r="F2284" s="120">
        <v>0</v>
      </c>
    </row>
    <row r="2285" spans="1:6" ht="24">
      <c r="A2285" s="190">
        <v>540806</v>
      </c>
      <c r="B2285" s="176" t="s">
        <v>2722</v>
      </c>
      <c r="C2285" s="169" t="s">
        <v>2121</v>
      </c>
      <c r="D2285" s="178" t="s">
        <v>2122</v>
      </c>
      <c r="E2285" s="121">
        <v>195598</v>
      </c>
      <c r="F2285" s="120">
        <v>0</v>
      </c>
    </row>
    <row r="2286" spans="1:6" ht="24">
      <c r="A2286" s="190">
        <v>540806</v>
      </c>
      <c r="B2286" s="176" t="s">
        <v>2722</v>
      </c>
      <c r="C2286" s="170" t="s">
        <v>2123</v>
      </c>
      <c r="D2286" s="178" t="s">
        <v>2124</v>
      </c>
      <c r="E2286" s="121">
        <v>58498</v>
      </c>
      <c r="F2286" s="120">
        <v>0</v>
      </c>
    </row>
    <row r="2287" spans="1:6" ht="24">
      <c r="A2287" s="190">
        <v>540806</v>
      </c>
      <c r="B2287" s="176" t="s">
        <v>2722</v>
      </c>
      <c r="C2287" s="170" t="s">
        <v>2125</v>
      </c>
      <c r="D2287" s="178" t="s">
        <v>2126</v>
      </c>
      <c r="E2287" s="121">
        <v>53641</v>
      </c>
      <c r="F2287" s="120">
        <v>0</v>
      </c>
    </row>
    <row r="2288" spans="1:6" ht="24">
      <c r="A2288" s="190">
        <v>540806</v>
      </c>
      <c r="B2288" s="176" t="s">
        <v>2722</v>
      </c>
      <c r="C2288" s="170" t="s">
        <v>2127</v>
      </c>
      <c r="D2288" s="178" t="s">
        <v>2128</v>
      </c>
      <c r="E2288" s="121">
        <v>258364</v>
      </c>
      <c r="F2288" s="120">
        <v>0</v>
      </c>
    </row>
    <row r="2289" spans="1:6" ht="24">
      <c r="A2289" s="190">
        <v>540806</v>
      </c>
      <c r="B2289" s="176" t="s">
        <v>2722</v>
      </c>
      <c r="C2289" s="170" t="s">
        <v>2129</v>
      </c>
      <c r="D2289" s="178" t="s">
        <v>2130</v>
      </c>
      <c r="E2289" s="121">
        <v>89260</v>
      </c>
      <c r="F2289" s="120">
        <v>0</v>
      </c>
    </row>
    <row r="2290" spans="1:6" ht="24">
      <c r="A2290" s="190">
        <v>540806</v>
      </c>
      <c r="B2290" s="176" t="s">
        <v>2722</v>
      </c>
      <c r="C2290" s="170" t="s">
        <v>2131</v>
      </c>
      <c r="D2290" s="178" t="s">
        <v>2132</v>
      </c>
      <c r="E2290" s="121">
        <v>22454</v>
      </c>
      <c r="F2290" s="120">
        <v>0</v>
      </c>
    </row>
    <row r="2291" spans="1:6" ht="24">
      <c r="A2291" s="190">
        <v>540806</v>
      </c>
      <c r="B2291" s="176" t="s">
        <v>2722</v>
      </c>
      <c r="C2291" s="170" t="s">
        <v>2133</v>
      </c>
      <c r="D2291" s="178" t="s">
        <v>1734</v>
      </c>
      <c r="E2291" s="121">
        <v>623695</v>
      </c>
      <c r="F2291" s="120">
        <v>0</v>
      </c>
    </row>
    <row r="2292" spans="1:6" ht="24">
      <c r="A2292" s="190">
        <v>540806</v>
      </c>
      <c r="B2292" s="176" t="s">
        <v>2722</v>
      </c>
      <c r="C2292" s="170" t="s">
        <v>2134</v>
      </c>
      <c r="D2292" s="178" t="s">
        <v>2135</v>
      </c>
      <c r="E2292" s="121">
        <v>289368</v>
      </c>
      <c r="F2292" s="120">
        <v>0</v>
      </c>
    </row>
    <row r="2293" spans="1:6" ht="24">
      <c r="A2293" s="190">
        <v>540806</v>
      </c>
      <c r="B2293" s="176" t="s">
        <v>2722</v>
      </c>
      <c r="C2293" s="170" t="s">
        <v>2136</v>
      </c>
      <c r="D2293" s="178" t="s">
        <v>2137</v>
      </c>
      <c r="E2293" s="121">
        <v>722205</v>
      </c>
      <c r="F2293" s="120">
        <v>0</v>
      </c>
    </row>
    <row r="2294" spans="1:6" ht="24">
      <c r="A2294" s="190">
        <v>540806</v>
      </c>
      <c r="B2294" s="176" t="s">
        <v>2722</v>
      </c>
      <c r="C2294" s="170" t="s">
        <v>2138</v>
      </c>
      <c r="D2294" s="178" t="s">
        <v>2139</v>
      </c>
      <c r="E2294" s="121">
        <v>68122</v>
      </c>
      <c r="F2294" s="120">
        <v>0</v>
      </c>
    </row>
    <row r="2295" spans="1:6" ht="24">
      <c r="A2295" s="190">
        <v>540806</v>
      </c>
      <c r="B2295" s="176" t="s">
        <v>2722</v>
      </c>
      <c r="C2295" s="170" t="s">
        <v>2140</v>
      </c>
      <c r="D2295" s="178" t="s">
        <v>1427</v>
      </c>
      <c r="E2295" s="121">
        <v>159990</v>
      </c>
      <c r="F2295" s="120">
        <v>0</v>
      </c>
    </row>
    <row r="2296" spans="1:6" ht="24">
      <c r="A2296" s="190">
        <v>540806</v>
      </c>
      <c r="B2296" s="176" t="s">
        <v>2722</v>
      </c>
      <c r="C2296" s="169" t="s">
        <v>2141</v>
      </c>
      <c r="D2296" s="178" t="s">
        <v>2142</v>
      </c>
      <c r="E2296" s="121">
        <v>118119</v>
      </c>
      <c r="F2296" s="120">
        <v>0</v>
      </c>
    </row>
    <row r="2297" spans="1:6" ht="24">
      <c r="A2297" s="190">
        <v>540806</v>
      </c>
      <c r="B2297" s="176" t="s">
        <v>2722</v>
      </c>
      <c r="C2297" s="169" t="s">
        <v>2143</v>
      </c>
      <c r="D2297" s="178" t="s">
        <v>2144</v>
      </c>
      <c r="E2297" s="121">
        <v>301935</v>
      </c>
      <c r="F2297" s="120">
        <v>0</v>
      </c>
    </row>
    <row r="2298" spans="1:6" ht="24">
      <c r="A2298" s="190">
        <v>540806</v>
      </c>
      <c r="B2298" s="176" t="s">
        <v>2722</v>
      </c>
      <c r="C2298" s="169" t="s">
        <v>2145</v>
      </c>
      <c r="D2298" s="178" t="s">
        <v>2146</v>
      </c>
      <c r="E2298" s="121">
        <v>323880</v>
      </c>
      <c r="F2298" s="120">
        <v>0</v>
      </c>
    </row>
    <row r="2299" spans="1:6" ht="24">
      <c r="A2299" s="190">
        <v>540806</v>
      </c>
      <c r="B2299" s="176" t="s">
        <v>2722</v>
      </c>
      <c r="C2299" s="169" t="s">
        <v>2147</v>
      </c>
      <c r="D2299" s="178" t="s">
        <v>2148</v>
      </c>
      <c r="E2299" s="121">
        <v>84268</v>
      </c>
      <c r="F2299" s="120">
        <v>0</v>
      </c>
    </row>
    <row r="2300" spans="1:6" ht="24">
      <c r="A2300" s="190">
        <v>540806</v>
      </c>
      <c r="B2300" s="176" t="s">
        <v>2722</v>
      </c>
      <c r="C2300" s="169" t="s">
        <v>2149</v>
      </c>
      <c r="D2300" s="178" t="s">
        <v>2150</v>
      </c>
      <c r="E2300" s="121">
        <v>174208</v>
      </c>
      <c r="F2300" s="120">
        <v>0</v>
      </c>
    </row>
    <row r="2301" spans="1:6" ht="24">
      <c r="A2301" s="190">
        <v>540806</v>
      </c>
      <c r="B2301" s="176" t="s">
        <v>2722</v>
      </c>
      <c r="C2301" s="169" t="s">
        <v>2151</v>
      </c>
      <c r="D2301" s="178" t="s">
        <v>1157</v>
      </c>
      <c r="E2301" s="121">
        <v>105938</v>
      </c>
      <c r="F2301" s="120">
        <v>0</v>
      </c>
    </row>
    <row r="2302" spans="1:6" ht="24">
      <c r="A2302" s="190">
        <v>540806</v>
      </c>
      <c r="B2302" s="176" t="s">
        <v>2722</v>
      </c>
      <c r="C2302" s="169">
        <v>214547245</v>
      </c>
      <c r="D2302" s="178" t="s">
        <v>2152</v>
      </c>
      <c r="E2302" s="121">
        <v>704227</v>
      </c>
      <c r="F2302" s="120">
        <v>0</v>
      </c>
    </row>
    <row r="2303" spans="1:6" ht="24">
      <c r="A2303" s="190">
        <v>540806</v>
      </c>
      <c r="B2303" s="176" t="s">
        <v>2722</v>
      </c>
      <c r="C2303" s="169">
        <v>215847258</v>
      </c>
      <c r="D2303" s="178" t="s">
        <v>2153</v>
      </c>
      <c r="E2303" s="121">
        <v>143960</v>
      </c>
      <c r="F2303" s="120">
        <v>0</v>
      </c>
    </row>
    <row r="2304" spans="1:6" ht="24">
      <c r="A2304" s="190">
        <v>540806</v>
      </c>
      <c r="B2304" s="176" t="s">
        <v>2722</v>
      </c>
      <c r="C2304" s="169">
        <v>216847268</v>
      </c>
      <c r="D2304" s="178" t="s">
        <v>2154</v>
      </c>
      <c r="E2304" s="121">
        <v>201561</v>
      </c>
      <c r="F2304" s="120">
        <v>0</v>
      </c>
    </row>
    <row r="2305" spans="1:6" ht="24">
      <c r="A2305" s="190">
        <v>540806</v>
      </c>
      <c r="B2305" s="176" t="s">
        <v>2722</v>
      </c>
      <c r="C2305" s="169">
        <v>218847288</v>
      </c>
      <c r="D2305" s="178" t="s">
        <v>2155</v>
      </c>
      <c r="E2305" s="121">
        <v>497476</v>
      </c>
      <c r="F2305" s="120">
        <v>0</v>
      </c>
    </row>
    <row r="2306" spans="1:6" ht="24">
      <c r="A2306" s="190">
        <v>540806</v>
      </c>
      <c r="B2306" s="176" t="s">
        <v>2722</v>
      </c>
      <c r="C2306" s="169">
        <v>211847318</v>
      </c>
      <c r="D2306" s="178" t="s">
        <v>2156</v>
      </c>
      <c r="E2306" s="121">
        <v>321577</v>
      </c>
      <c r="F2306" s="120">
        <v>0</v>
      </c>
    </row>
    <row r="2307" spans="1:6" ht="24">
      <c r="A2307" s="190">
        <v>540806</v>
      </c>
      <c r="B2307" s="176" t="s">
        <v>2722</v>
      </c>
      <c r="C2307" s="169">
        <v>216047460</v>
      </c>
      <c r="D2307" s="178" t="s">
        <v>2157</v>
      </c>
      <c r="E2307" s="121">
        <v>209611</v>
      </c>
      <c r="F2307" s="120">
        <v>0</v>
      </c>
    </row>
    <row r="2308" spans="1:6" ht="24">
      <c r="A2308" s="190">
        <v>540806</v>
      </c>
      <c r="B2308" s="176" t="s">
        <v>2722</v>
      </c>
      <c r="C2308" s="169">
        <v>214147541</v>
      </c>
      <c r="D2308" s="178" t="s">
        <v>2158</v>
      </c>
      <c r="E2308" s="121">
        <v>101103</v>
      </c>
      <c r="F2308" s="120">
        <v>0</v>
      </c>
    </row>
    <row r="2309" spans="1:6" ht="24">
      <c r="A2309" s="190">
        <v>540806</v>
      </c>
      <c r="B2309" s="176" t="s">
        <v>2722</v>
      </c>
      <c r="C2309" s="169">
        <v>214547545</v>
      </c>
      <c r="D2309" s="178" t="s">
        <v>2159</v>
      </c>
      <c r="E2309" s="121">
        <v>187122</v>
      </c>
      <c r="F2309" s="120">
        <v>0</v>
      </c>
    </row>
    <row r="2310" spans="1:6" ht="24">
      <c r="A2310" s="190">
        <v>540806</v>
      </c>
      <c r="B2310" s="176" t="s">
        <v>2722</v>
      </c>
      <c r="C2310" s="169">
        <v>215147551</v>
      </c>
      <c r="D2310" s="178" t="s">
        <v>2160</v>
      </c>
      <c r="E2310" s="121">
        <v>392053</v>
      </c>
      <c r="F2310" s="120">
        <v>0</v>
      </c>
    </row>
    <row r="2311" spans="1:6" ht="24">
      <c r="A2311" s="190">
        <v>540806</v>
      </c>
      <c r="B2311" s="176" t="s">
        <v>2722</v>
      </c>
      <c r="C2311" s="169">
        <v>215547555</v>
      </c>
      <c r="D2311" s="178" t="s">
        <v>2161</v>
      </c>
      <c r="E2311" s="121">
        <v>610676</v>
      </c>
      <c r="F2311" s="120">
        <v>0</v>
      </c>
    </row>
    <row r="2312" spans="1:6" ht="24">
      <c r="A2312" s="190">
        <v>540806</v>
      </c>
      <c r="B2312" s="176" t="s">
        <v>2722</v>
      </c>
      <c r="C2312" s="169">
        <v>217047570</v>
      </c>
      <c r="D2312" s="178" t="s">
        <v>2162</v>
      </c>
      <c r="E2312" s="121">
        <v>236966</v>
      </c>
      <c r="F2312" s="120">
        <v>0</v>
      </c>
    </row>
    <row r="2313" spans="1:6" ht="24">
      <c r="A2313" s="190">
        <v>540806</v>
      </c>
      <c r="B2313" s="176" t="s">
        <v>2722</v>
      </c>
      <c r="C2313" s="169">
        <v>210547605</v>
      </c>
      <c r="D2313" s="178" t="s">
        <v>2163</v>
      </c>
      <c r="E2313" s="121">
        <v>89689</v>
      </c>
      <c r="F2313" s="120">
        <v>0</v>
      </c>
    </row>
    <row r="2314" spans="1:6" ht="24">
      <c r="A2314" s="190">
        <v>540806</v>
      </c>
      <c r="B2314" s="176" t="s">
        <v>2722</v>
      </c>
      <c r="C2314" s="169">
        <v>216047660</v>
      </c>
      <c r="D2314" s="178" t="s">
        <v>2164</v>
      </c>
      <c r="E2314" s="121">
        <v>135618</v>
      </c>
      <c r="F2314" s="120">
        <v>0</v>
      </c>
    </row>
    <row r="2315" spans="1:6" ht="24">
      <c r="A2315" s="190">
        <v>540806</v>
      </c>
      <c r="B2315" s="176" t="s">
        <v>2722</v>
      </c>
      <c r="C2315" s="169">
        <v>217547675</v>
      </c>
      <c r="D2315" s="178" t="s">
        <v>1639</v>
      </c>
      <c r="E2315" s="121">
        <v>116071</v>
      </c>
      <c r="F2315" s="120">
        <v>0</v>
      </c>
    </row>
    <row r="2316" spans="1:6" ht="24">
      <c r="A2316" s="190">
        <v>540806</v>
      </c>
      <c r="B2316" s="176" t="s">
        <v>2722</v>
      </c>
      <c r="C2316" s="169">
        <v>219247692</v>
      </c>
      <c r="D2316" s="178" t="s">
        <v>1696</v>
      </c>
      <c r="E2316" s="121">
        <v>251955</v>
      </c>
      <c r="F2316" s="120">
        <v>0</v>
      </c>
    </row>
    <row r="2317" spans="1:6" ht="24">
      <c r="A2317" s="190">
        <v>540806</v>
      </c>
      <c r="B2317" s="176" t="s">
        <v>2722</v>
      </c>
      <c r="C2317" s="169">
        <v>210347703</v>
      </c>
      <c r="D2317" s="178" t="s">
        <v>2165</v>
      </c>
      <c r="E2317" s="121">
        <v>134869</v>
      </c>
      <c r="F2317" s="120">
        <v>0</v>
      </c>
    </row>
    <row r="2318" spans="1:6" ht="24">
      <c r="A2318" s="190">
        <v>540806</v>
      </c>
      <c r="B2318" s="176" t="s">
        <v>2722</v>
      </c>
      <c r="C2318" s="169">
        <v>210747707</v>
      </c>
      <c r="D2318" s="178" t="s">
        <v>2166</v>
      </c>
      <c r="E2318" s="121">
        <v>255955</v>
      </c>
      <c r="F2318" s="120">
        <v>0</v>
      </c>
    </row>
    <row r="2319" spans="1:6" ht="24">
      <c r="A2319" s="190">
        <v>540806</v>
      </c>
      <c r="B2319" s="176" t="s">
        <v>2722</v>
      </c>
      <c r="C2319" s="169">
        <v>212047720</v>
      </c>
      <c r="D2319" s="178" t="s">
        <v>2167</v>
      </c>
      <c r="E2319" s="121">
        <v>127912</v>
      </c>
      <c r="F2319" s="120">
        <v>0</v>
      </c>
    </row>
    <row r="2320" spans="1:6" ht="24">
      <c r="A2320" s="190">
        <v>540806</v>
      </c>
      <c r="B2320" s="176" t="s">
        <v>2722</v>
      </c>
      <c r="C2320" s="169">
        <v>214547745</v>
      </c>
      <c r="D2320" s="178" t="s">
        <v>2168</v>
      </c>
      <c r="E2320" s="121">
        <v>257758</v>
      </c>
      <c r="F2320" s="120">
        <v>0</v>
      </c>
    </row>
    <row r="2321" spans="1:6" ht="24">
      <c r="A2321" s="190">
        <v>540806</v>
      </c>
      <c r="B2321" s="176" t="s">
        <v>2722</v>
      </c>
      <c r="C2321" s="169">
        <v>219847798</v>
      </c>
      <c r="D2321" s="178" t="s">
        <v>2169</v>
      </c>
      <c r="E2321" s="121">
        <v>191208</v>
      </c>
      <c r="F2321" s="120">
        <v>0</v>
      </c>
    </row>
    <row r="2322" spans="1:6" ht="24">
      <c r="A2322" s="190">
        <v>540806</v>
      </c>
      <c r="B2322" s="176" t="s">
        <v>2722</v>
      </c>
      <c r="C2322" s="169">
        <v>216047960</v>
      </c>
      <c r="D2322" s="178" t="s">
        <v>2170</v>
      </c>
      <c r="E2322" s="121">
        <v>94132</v>
      </c>
      <c r="F2322" s="120">
        <v>0</v>
      </c>
    </row>
    <row r="2323" spans="1:6" ht="24">
      <c r="A2323" s="190">
        <v>540806</v>
      </c>
      <c r="B2323" s="176" t="s">
        <v>2722</v>
      </c>
      <c r="C2323" s="169">
        <v>218047980</v>
      </c>
      <c r="D2323" s="178" t="s">
        <v>2171</v>
      </c>
      <c r="E2323" s="121">
        <v>630670</v>
      </c>
      <c r="F2323" s="120">
        <v>0</v>
      </c>
    </row>
    <row r="2324" spans="1:6" ht="24">
      <c r="A2324" s="190">
        <v>540806</v>
      </c>
      <c r="B2324" s="176" t="s">
        <v>2722</v>
      </c>
      <c r="C2324" s="169">
        <v>210650006</v>
      </c>
      <c r="D2324" s="178" t="s">
        <v>2172</v>
      </c>
      <c r="E2324" s="121">
        <v>463466</v>
      </c>
      <c r="F2324" s="120">
        <v>0</v>
      </c>
    </row>
    <row r="2325" spans="1:6" ht="24">
      <c r="A2325" s="190">
        <v>540806</v>
      </c>
      <c r="B2325" s="176" t="s">
        <v>2722</v>
      </c>
      <c r="C2325" s="169">
        <v>211050110</v>
      </c>
      <c r="D2325" s="178" t="s">
        <v>2173</v>
      </c>
      <c r="E2325" s="121">
        <v>25858</v>
      </c>
      <c r="F2325" s="120">
        <v>0</v>
      </c>
    </row>
    <row r="2326" spans="1:6" ht="24">
      <c r="A2326" s="190">
        <v>540806</v>
      </c>
      <c r="B2326" s="176" t="s">
        <v>2722</v>
      </c>
      <c r="C2326" s="169">
        <v>212450124</v>
      </c>
      <c r="D2326" s="178" t="s">
        <v>2174</v>
      </c>
      <c r="E2326" s="121">
        <v>28879</v>
      </c>
      <c r="F2326" s="120">
        <v>0</v>
      </c>
    </row>
    <row r="2327" spans="1:6" ht="24">
      <c r="A2327" s="190">
        <v>540806</v>
      </c>
      <c r="B2327" s="176" t="s">
        <v>2722</v>
      </c>
      <c r="C2327" s="169">
        <v>215050150</v>
      </c>
      <c r="D2327" s="178" t="s">
        <v>2175</v>
      </c>
      <c r="E2327" s="121">
        <v>58133</v>
      </c>
      <c r="F2327" s="120">
        <v>0</v>
      </c>
    </row>
    <row r="2328" spans="1:6" ht="24">
      <c r="A2328" s="190">
        <v>540806</v>
      </c>
      <c r="B2328" s="176" t="s">
        <v>2722</v>
      </c>
      <c r="C2328" s="169">
        <v>212350223</v>
      </c>
      <c r="D2328" s="178" t="s">
        <v>2176</v>
      </c>
      <c r="E2328" s="121">
        <v>35637</v>
      </c>
      <c r="F2328" s="120">
        <v>0</v>
      </c>
    </row>
    <row r="2329" spans="1:6" ht="24">
      <c r="A2329" s="190">
        <v>540806</v>
      </c>
      <c r="B2329" s="176" t="s">
        <v>2722</v>
      </c>
      <c r="C2329" s="169">
        <v>212650226</v>
      </c>
      <c r="D2329" s="178" t="s">
        <v>2177</v>
      </c>
      <c r="E2329" s="121">
        <v>134033</v>
      </c>
      <c r="F2329" s="120">
        <v>0</v>
      </c>
    </row>
    <row r="2330" spans="1:6" ht="24">
      <c r="A2330" s="190">
        <v>540806</v>
      </c>
      <c r="B2330" s="176" t="s">
        <v>2722</v>
      </c>
      <c r="C2330" s="169">
        <v>214550245</v>
      </c>
      <c r="D2330" s="178" t="s">
        <v>2178</v>
      </c>
      <c r="E2330" s="121">
        <v>21980</v>
      </c>
      <c r="F2330" s="120">
        <v>0</v>
      </c>
    </row>
    <row r="2331" spans="1:6" ht="24">
      <c r="A2331" s="190">
        <v>540806</v>
      </c>
      <c r="B2331" s="176" t="s">
        <v>2722</v>
      </c>
      <c r="C2331" s="169">
        <v>215150251</v>
      </c>
      <c r="D2331" s="178" t="s">
        <v>2179</v>
      </c>
      <c r="E2331" s="121">
        <v>45212</v>
      </c>
      <c r="F2331" s="120">
        <v>0</v>
      </c>
    </row>
    <row r="2332" spans="1:6" ht="24">
      <c r="A2332" s="190">
        <v>540806</v>
      </c>
      <c r="B2332" s="176" t="s">
        <v>2722</v>
      </c>
      <c r="C2332" s="169">
        <v>217050270</v>
      </c>
      <c r="D2332" s="178" t="s">
        <v>2180</v>
      </c>
      <c r="E2332" s="121">
        <v>28946</v>
      </c>
      <c r="F2332" s="120">
        <v>0</v>
      </c>
    </row>
    <row r="2333" spans="1:6" ht="24">
      <c r="A2333" s="190">
        <v>540806</v>
      </c>
      <c r="B2333" s="176" t="s">
        <v>2722</v>
      </c>
      <c r="C2333" s="169">
        <v>218750287</v>
      </c>
      <c r="D2333" s="178" t="s">
        <v>2181</v>
      </c>
      <c r="E2333" s="121">
        <v>73151</v>
      </c>
      <c r="F2333" s="120">
        <v>0</v>
      </c>
    </row>
    <row r="2334" spans="1:6" ht="24">
      <c r="A2334" s="190">
        <v>540806</v>
      </c>
      <c r="B2334" s="176" t="s">
        <v>2722</v>
      </c>
      <c r="C2334" s="169">
        <v>211350313</v>
      </c>
      <c r="D2334" s="178" t="s">
        <v>1179</v>
      </c>
      <c r="E2334" s="121">
        <v>384510</v>
      </c>
      <c r="F2334" s="120">
        <v>0</v>
      </c>
    </row>
    <row r="2335" spans="1:6" ht="24">
      <c r="A2335" s="190">
        <v>540806</v>
      </c>
      <c r="B2335" s="176" t="s">
        <v>2722</v>
      </c>
      <c r="C2335" s="169">
        <v>211850318</v>
      </c>
      <c r="D2335" s="178" t="s">
        <v>2156</v>
      </c>
      <c r="E2335" s="121">
        <v>75810</v>
      </c>
      <c r="F2335" s="120">
        <v>0</v>
      </c>
    </row>
    <row r="2336" spans="1:6" ht="24">
      <c r="A2336" s="190">
        <v>540806</v>
      </c>
      <c r="B2336" s="176" t="s">
        <v>2722</v>
      </c>
      <c r="C2336" s="169">
        <v>212550325</v>
      </c>
      <c r="D2336" s="178" t="s">
        <v>2182</v>
      </c>
      <c r="E2336" s="121">
        <v>70741</v>
      </c>
      <c r="F2336" s="120">
        <v>0</v>
      </c>
    </row>
    <row r="2337" spans="1:6" ht="24">
      <c r="A2337" s="190">
        <v>540806</v>
      </c>
      <c r="B2337" s="176" t="s">
        <v>2722</v>
      </c>
      <c r="C2337" s="169">
        <v>213050330</v>
      </c>
      <c r="D2337" s="178" t="s">
        <v>2183</v>
      </c>
      <c r="E2337" s="121">
        <v>86815</v>
      </c>
      <c r="F2337" s="120">
        <v>0</v>
      </c>
    </row>
    <row r="2338" spans="1:6" ht="24">
      <c r="A2338" s="190">
        <v>540806</v>
      </c>
      <c r="B2338" s="176" t="s">
        <v>2722</v>
      </c>
      <c r="C2338" s="169">
        <v>215050350</v>
      </c>
      <c r="D2338" s="178" t="s">
        <v>2184</v>
      </c>
      <c r="E2338" s="121">
        <v>168318</v>
      </c>
      <c r="F2338" s="120">
        <v>0</v>
      </c>
    </row>
    <row r="2339" spans="1:6" ht="24">
      <c r="A2339" s="190">
        <v>540806</v>
      </c>
      <c r="B2339" s="176" t="s">
        <v>2722</v>
      </c>
      <c r="C2339" s="169">
        <v>217050370</v>
      </c>
      <c r="D2339" s="178" t="s">
        <v>2185</v>
      </c>
      <c r="E2339" s="121">
        <v>78155</v>
      </c>
      <c r="F2339" s="120">
        <v>0</v>
      </c>
    </row>
    <row r="2340" spans="1:6" ht="24">
      <c r="A2340" s="190">
        <v>540806</v>
      </c>
      <c r="B2340" s="176" t="s">
        <v>2722</v>
      </c>
      <c r="C2340" s="169">
        <v>210050400</v>
      </c>
      <c r="D2340" s="178" t="s">
        <v>2186</v>
      </c>
      <c r="E2340" s="121">
        <v>71337</v>
      </c>
      <c r="F2340" s="120">
        <v>0</v>
      </c>
    </row>
    <row r="2341" spans="1:6" ht="24">
      <c r="A2341" s="190">
        <v>540806</v>
      </c>
      <c r="B2341" s="176" t="s">
        <v>2722</v>
      </c>
      <c r="C2341" s="169">
        <v>215050450</v>
      </c>
      <c r="D2341" s="178" t="s">
        <v>2187</v>
      </c>
      <c r="E2341" s="121">
        <v>92141</v>
      </c>
      <c r="F2341" s="120">
        <v>0</v>
      </c>
    </row>
    <row r="2342" spans="1:6" ht="24">
      <c r="A2342" s="190">
        <v>540806</v>
      </c>
      <c r="B2342" s="176" t="s">
        <v>2722</v>
      </c>
      <c r="C2342" s="169">
        <v>216850568</v>
      </c>
      <c r="D2342" s="178" t="s">
        <v>2188</v>
      </c>
      <c r="E2342" s="121">
        <v>151579</v>
      </c>
      <c r="F2342" s="120">
        <v>0</v>
      </c>
    </row>
    <row r="2343" spans="1:6" ht="24">
      <c r="A2343" s="190">
        <v>540806</v>
      </c>
      <c r="B2343" s="176" t="s">
        <v>2722</v>
      </c>
      <c r="C2343" s="169">
        <v>217350573</v>
      </c>
      <c r="D2343" s="178" t="s">
        <v>2189</v>
      </c>
      <c r="E2343" s="121">
        <v>208009</v>
      </c>
      <c r="F2343" s="120">
        <v>0</v>
      </c>
    </row>
    <row r="2344" spans="1:6" ht="24">
      <c r="A2344" s="190">
        <v>540806</v>
      </c>
      <c r="B2344" s="176" t="s">
        <v>2722</v>
      </c>
      <c r="C2344" s="169">
        <v>217750577</v>
      </c>
      <c r="D2344" s="178" t="s">
        <v>2190</v>
      </c>
      <c r="E2344" s="121">
        <v>72072</v>
      </c>
      <c r="F2344" s="120">
        <v>0</v>
      </c>
    </row>
    <row r="2345" spans="1:6" ht="24">
      <c r="A2345" s="190">
        <v>540806</v>
      </c>
      <c r="B2345" s="176" t="s">
        <v>2722</v>
      </c>
      <c r="C2345" s="169">
        <v>219050590</v>
      </c>
      <c r="D2345" s="178" t="s">
        <v>1662</v>
      </c>
      <c r="E2345" s="121">
        <v>127339</v>
      </c>
      <c r="F2345" s="120">
        <v>0</v>
      </c>
    </row>
    <row r="2346" spans="1:6" ht="24">
      <c r="A2346" s="190">
        <v>540806</v>
      </c>
      <c r="B2346" s="176" t="s">
        <v>2722</v>
      </c>
      <c r="C2346" s="169">
        <v>210650606</v>
      </c>
      <c r="D2346" s="178" t="s">
        <v>2191</v>
      </c>
      <c r="E2346" s="121">
        <v>89799</v>
      </c>
      <c r="F2346" s="120">
        <v>0</v>
      </c>
    </row>
    <row r="2347" spans="1:6" ht="24">
      <c r="A2347" s="190">
        <v>540806</v>
      </c>
      <c r="B2347" s="176" t="s">
        <v>2722</v>
      </c>
      <c r="C2347" s="169">
        <v>218050680</v>
      </c>
      <c r="D2347" s="178" t="s">
        <v>2192</v>
      </c>
      <c r="E2347" s="121">
        <v>68186</v>
      </c>
      <c r="F2347" s="120">
        <v>0</v>
      </c>
    </row>
    <row r="2348" spans="1:6" ht="24">
      <c r="A2348" s="190">
        <v>540806</v>
      </c>
      <c r="B2348" s="176" t="s">
        <v>2722</v>
      </c>
      <c r="C2348" s="169">
        <v>218350683</v>
      </c>
      <c r="D2348" s="178" t="s">
        <v>2193</v>
      </c>
      <c r="E2348" s="121">
        <v>61445</v>
      </c>
      <c r="F2348" s="120">
        <v>0</v>
      </c>
    </row>
    <row r="2349" spans="1:6" ht="24">
      <c r="A2349" s="190">
        <v>540806</v>
      </c>
      <c r="B2349" s="176" t="s">
        <v>2722</v>
      </c>
      <c r="C2349" s="169">
        <v>218650686</v>
      </c>
      <c r="D2349" s="178" t="s">
        <v>2194</v>
      </c>
      <c r="E2349" s="121">
        <v>11747</v>
      </c>
      <c r="F2349" s="120">
        <v>0</v>
      </c>
    </row>
    <row r="2350" spans="1:6" ht="24">
      <c r="A2350" s="190">
        <v>540806</v>
      </c>
      <c r="B2350" s="176" t="s">
        <v>2722</v>
      </c>
      <c r="C2350" s="169">
        <v>218950689</v>
      </c>
      <c r="D2350" s="178" t="s">
        <v>1750</v>
      </c>
      <c r="E2350" s="121">
        <v>154923</v>
      </c>
      <c r="F2350" s="120">
        <v>0</v>
      </c>
    </row>
    <row r="2351" spans="1:6" ht="24">
      <c r="A2351" s="190">
        <v>540806</v>
      </c>
      <c r="B2351" s="176" t="s">
        <v>2722</v>
      </c>
      <c r="C2351" s="169">
        <v>211150711</v>
      </c>
      <c r="D2351" s="178" t="s">
        <v>2195</v>
      </c>
      <c r="E2351" s="121">
        <v>205360</v>
      </c>
      <c r="F2351" s="120">
        <v>0</v>
      </c>
    </row>
    <row r="2352" spans="1:6" ht="24">
      <c r="A2352" s="190">
        <v>540806</v>
      </c>
      <c r="B2352" s="176" t="s">
        <v>2722</v>
      </c>
      <c r="C2352" s="169">
        <v>211952019</v>
      </c>
      <c r="D2352" s="178" t="s">
        <v>1798</v>
      </c>
      <c r="E2352" s="121">
        <v>87449</v>
      </c>
      <c r="F2352" s="120">
        <v>0</v>
      </c>
    </row>
    <row r="2353" spans="1:6" ht="24">
      <c r="A2353" s="190">
        <v>540806</v>
      </c>
      <c r="B2353" s="176" t="s">
        <v>2722</v>
      </c>
      <c r="C2353" s="169">
        <v>212252022</v>
      </c>
      <c r="D2353" s="178" t="s">
        <v>2196</v>
      </c>
      <c r="E2353" s="121">
        <v>49258</v>
      </c>
      <c r="F2353" s="120">
        <v>0</v>
      </c>
    </row>
    <row r="2354" spans="1:6" ht="24">
      <c r="A2354" s="190">
        <v>540806</v>
      </c>
      <c r="B2354" s="176" t="s">
        <v>2722</v>
      </c>
      <c r="C2354" s="169">
        <v>213652036</v>
      </c>
      <c r="D2354" s="178" t="s">
        <v>2197</v>
      </c>
      <c r="E2354" s="121">
        <v>69835</v>
      </c>
      <c r="F2354" s="120">
        <v>0</v>
      </c>
    </row>
    <row r="2355" spans="1:6" ht="24">
      <c r="A2355" s="190">
        <v>540806</v>
      </c>
      <c r="B2355" s="176" t="s">
        <v>2722</v>
      </c>
      <c r="C2355" s="169">
        <v>215152051</v>
      </c>
      <c r="D2355" s="178" t="s">
        <v>2198</v>
      </c>
      <c r="E2355" s="121">
        <v>65967</v>
      </c>
      <c r="F2355" s="120">
        <v>0</v>
      </c>
    </row>
    <row r="2356" spans="1:6" ht="24">
      <c r="A2356" s="190">
        <v>540806</v>
      </c>
      <c r="B2356" s="176" t="s">
        <v>2722</v>
      </c>
      <c r="C2356" s="169">
        <v>217952079</v>
      </c>
      <c r="D2356" s="178" t="s">
        <v>2199</v>
      </c>
      <c r="E2356" s="121">
        <v>490821</v>
      </c>
      <c r="F2356" s="120">
        <v>0</v>
      </c>
    </row>
    <row r="2357" spans="1:6" ht="24">
      <c r="A2357" s="190">
        <v>540806</v>
      </c>
      <c r="B2357" s="176" t="s">
        <v>2722</v>
      </c>
      <c r="C2357" s="169">
        <v>218352083</v>
      </c>
      <c r="D2357" s="178" t="s">
        <v>1437</v>
      </c>
      <c r="E2357" s="121">
        <v>57317</v>
      </c>
      <c r="F2357" s="120">
        <v>0</v>
      </c>
    </row>
    <row r="2358" spans="1:6" ht="24">
      <c r="A2358" s="190">
        <v>540806</v>
      </c>
      <c r="B2358" s="176" t="s">
        <v>2722</v>
      </c>
      <c r="C2358" s="169">
        <v>211052110</v>
      </c>
      <c r="D2358" s="178" t="s">
        <v>2200</v>
      </c>
      <c r="E2358" s="121">
        <v>159392</v>
      </c>
      <c r="F2358" s="120">
        <v>0</v>
      </c>
    </row>
    <row r="2359" spans="1:6" ht="24">
      <c r="A2359" s="190">
        <v>540806</v>
      </c>
      <c r="B2359" s="176" t="s">
        <v>2722</v>
      </c>
      <c r="C2359" s="169">
        <v>210352203</v>
      </c>
      <c r="D2359" s="178" t="s">
        <v>2201</v>
      </c>
      <c r="E2359" s="121">
        <v>76019</v>
      </c>
      <c r="F2359" s="120">
        <v>0</v>
      </c>
    </row>
    <row r="2360" spans="1:6" ht="24">
      <c r="A2360" s="190">
        <v>540806</v>
      </c>
      <c r="B2360" s="176" t="s">
        <v>2722</v>
      </c>
      <c r="C2360" s="169">
        <v>210752207</v>
      </c>
      <c r="D2360" s="178" t="s">
        <v>2202</v>
      </c>
      <c r="E2360" s="121">
        <v>68429</v>
      </c>
      <c r="F2360" s="120">
        <v>0</v>
      </c>
    </row>
    <row r="2361" spans="1:6" ht="24">
      <c r="A2361" s="190">
        <v>540806</v>
      </c>
      <c r="B2361" s="176" t="s">
        <v>2722</v>
      </c>
      <c r="C2361" s="169">
        <v>211052210</v>
      </c>
      <c r="D2361" s="178" t="s">
        <v>2203</v>
      </c>
      <c r="E2361" s="121">
        <v>45143</v>
      </c>
      <c r="F2361" s="120">
        <v>0</v>
      </c>
    </row>
    <row r="2362" spans="1:6" ht="24">
      <c r="A2362" s="190">
        <v>540806</v>
      </c>
      <c r="B2362" s="176" t="s">
        <v>2722</v>
      </c>
      <c r="C2362" s="169">
        <v>211552215</v>
      </c>
      <c r="D2362" s="178" t="s">
        <v>1001</v>
      </c>
      <c r="E2362" s="121">
        <v>128381</v>
      </c>
      <c r="F2362" s="120">
        <v>0</v>
      </c>
    </row>
    <row r="2363" spans="1:6" ht="24">
      <c r="A2363" s="190">
        <v>540806</v>
      </c>
      <c r="B2363" s="176" t="s">
        <v>2722</v>
      </c>
      <c r="C2363" s="169">
        <v>212452224</v>
      </c>
      <c r="D2363" s="178" t="s">
        <v>2204</v>
      </c>
      <c r="E2363" s="121">
        <v>56323</v>
      </c>
      <c r="F2363" s="120">
        <v>0</v>
      </c>
    </row>
    <row r="2364" spans="1:6" ht="24">
      <c r="A2364" s="190">
        <v>540806</v>
      </c>
      <c r="B2364" s="176" t="s">
        <v>2722</v>
      </c>
      <c r="C2364" s="169">
        <v>212752227</v>
      </c>
      <c r="D2364" s="178" t="s">
        <v>2205</v>
      </c>
      <c r="E2364" s="121">
        <v>289600</v>
      </c>
      <c r="F2364" s="120">
        <v>0</v>
      </c>
    </row>
    <row r="2365" spans="1:6" ht="24">
      <c r="A2365" s="190">
        <v>540806</v>
      </c>
      <c r="B2365" s="176" t="s">
        <v>2722</v>
      </c>
      <c r="C2365" s="169">
        <v>213352233</v>
      </c>
      <c r="D2365" s="178" t="s">
        <v>2206</v>
      </c>
      <c r="E2365" s="121">
        <v>69069</v>
      </c>
      <c r="F2365" s="120">
        <v>0</v>
      </c>
    </row>
    <row r="2366" spans="1:6" ht="24">
      <c r="A2366" s="190">
        <v>540806</v>
      </c>
      <c r="B2366" s="176" t="s">
        <v>2722</v>
      </c>
      <c r="C2366" s="169">
        <v>214052240</v>
      </c>
      <c r="D2366" s="178" t="s">
        <v>2207</v>
      </c>
      <c r="E2366" s="121">
        <v>82683</v>
      </c>
      <c r="F2366" s="120">
        <v>0</v>
      </c>
    </row>
    <row r="2367" spans="1:6" ht="24">
      <c r="A2367" s="190">
        <v>540806</v>
      </c>
      <c r="B2367" s="176" t="s">
        <v>2722</v>
      </c>
      <c r="C2367" s="169">
        <v>215052250</v>
      </c>
      <c r="D2367" s="178" t="s">
        <v>2208</v>
      </c>
      <c r="E2367" s="121">
        <v>345673</v>
      </c>
      <c r="F2367" s="120">
        <v>0</v>
      </c>
    </row>
    <row r="2368" spans="1:6" ht="24">
      <c r="A2368" s="190">
        <v>540806</v>
      </c>
      <c r="B2368" s="176" t="s">
        <v>2722</v>
      </c>
      <c r="C2368" s="169">
        <v>215452254</v>
      </c>
      <c r="D2368" s="178" t="s">
        <v>2209</v>
      </c>
      <c r="E2368" s="121">
        <v>51261</v>
      </c>
      <c r="F2368" s="120">
        <v>0</v>
      </c>
    </row>
    <row r="2369" spans="1:6" ht="24">
      <c r="A2369" s="190">
        <v>540806</v>
      </c>
      <c r="B2369" s="176" t="s">
        <v>2722</v>
      </c>
      <c r="C2369" s="169">
        <v>215652256</v>
      </c>
      <c r="D2369" s="178" t="s">
        <v>2210</v>
      </c>
      <c r="E2369" s="121">
        <v>99611</v>
      </c>
      <c r="F2369" s="120">
        <v>0</v>
      </c>
    </row>
    <row r="2370" spans="1:6" ht="24">
      <c r="A2370" s="190">
        <v>540806</v>
      </c>
      <c r="B2370" s="176" t="s">
        <v>2722</v>
      </c>
      <c r="C2370" s="169">
        <v>215852258</v>
      </c>
      <c r="D2370" s="178" t="s">
        <v>2211</v>
      </c>
      <c r="E2370" s="121">
        <v>129227</v>
      </c>
      <c r="F2370" s="120">
        <v>0</v>
      </c>
    </row>
    <row r="2371" spans="1:6" ht="24">
      <c r="A2371" s="190">
        <v>540806</v>
      </c>
      <c r="B2371" s="176" t="s">
        <v>2722</v>
      </c>
      <c r="C2371" s="169">
        <v>216052260</v>
      </c>
      <c r="D2371" s="178" t="s">
        <v>1680</v>
      </c>
      <c r="E2371" s="121">
        <v>119598</v>
      </c>
      <c r="F2371" s="120">
        <v>0</v>
      </c>
    </row>
    <row r="2372" spans="1:6" ht="24">
      <c r="A2372" s="190">
        <v>540806</v>
      </c>
      <c r="B2372" s="176" t="s">
        <v>2722</v>
      </c>
      <c r="C2372" s="169">
        <v>218752287</v>
      </c>
      <c r="D2372" s="178" t="s">
        <v>2212</v>
      </c>
      <c r="E2372" s="121">
        <v>39303</v>
      </c>
      <c r="F2372" s="120">
        <v>0</v>
      </c>
    </row>
    <row r="2373" spans="1:6" ht="24">
      <c r="A2373" s="190">
        <v>540806</v>
      </c>
      <c r="B2373" s="176" t="s">
        <v>2722</v>
      </c>
      <c r="C2373" s="169">
        <v>211752317</v>
      </c>
      <c r="D2373" s="178" t="s">
        <v>2213</v>
      </c>
      <c r="E2373" s="121">
        <v>149368</v>
      </c>
      <c r="F2373" s="120">
        <v>0</v>
      </c>
    </row>
    <row r="2374" spans="1:6" ht="24">
      <c r="A2374" s="190">
        <v>540806</v>
      </c>
      <c r="B2374" s="176" t="s">
        <v>2722</v>
      </c>
      <c r="C2374" s="169">
        <v>212052320</v>
      </c>
      <c r="D2374" s="178" t="s">
        <v>2214</v>
      </c>
      <c r="E2374" s="121">
        <v>113465</v>
      </c>
      <c r="F2374" s="120">
        <v>0</v>
      </c>
    </row>
    <row r="2375" spans="1:6" ht="24">
      <c r="A2375" s="190">
        <v>540806</v>
      </c>
      <c r="B2375" s="176" t="s">
        <v>2722</v>
      </c>
      <c r="C2375" s="169">
        <v>212352323</v>
      </c>
      <c r="D2375" s="178" t="s">
        <v>2215</v>
      </c>
      <c r="E2375" s="121">
        <v>46777</v>
      </c>
      <c r="F2375" s="120">
        <v>0</v>
      </c>
    </row>
    <row r="2376" spans="1:6" ht="24">
      <c r="A2376" s="190">
        <v>540806</v>
      </c>
      <c r="B2376" s="176" t="s">
        <v>2722</v>
      </c>
      <c r="C2376" s="169">
        <v>215252352</v>
      </c>
      <c r="D2376" s="178" t="s">
        <v>2216</v>
      </c>
      <c r="E2376" s="121">
        <v>55471</v>
      </c>
      <c r="F2376" s="120">
        <v>0</v>
      </c>
    </row>
    <row r="2377" spans="1:6" ht="24">
      <c r="A2377" s="190">
        <v>540806</v>
      </c>
      <c r="B2377" s="176" t="s">
        <v>2722</v>
      </c>
      <c r="C2377" s="169">
        <v>215452354</v>
      </c>
      <c r="D2377" s="178" t="s">
        <v>2217</v>
      </c>
      <c r="E2377" s="121">
        <v>65099</v>
      </c>
      <c r="F2377" s="120">
        <v>0</v>
      </c>
    </row>
    <row r="2378" spans="1:6" ht="24">
      <c r="A2378" s="190">
        <v>540806</v>
      </c>
      <c r="B2378" s="176" t="s">
        <v>2722</v>
      </c>
      <c r="C2378" s="169">
        <v>215652356</v>
      </c>
      <c r="D2378" s="178" t="s">
        <v>2218</v>
      </c>
      <c r="E2378" s="121">
        <v>680130</v>
      </c>
      <c r="F2378" s="120">
        <v>0</v>
      </c>
    </row>
    <row r="2379" spans="1:6" ht="24">
      <c r="A2379" s="190">
        <v>540806</v>
      </c>
      <c r="B2379" s="176" t="s">
        <v>2722</v>
      </c>
      <c r="C2379" s="169">
        <v>217852378</v>
      </c>
      <c r="D2379" s="178" t="s">
        <v>2219</v>
      </c>
      <c r="E2379" s="121">
        <v>140607</v>
      </c>
      <c r="F2379" s="120">
        <v>0</v>
      </c>
    </row>
    <row r="2380" spans="1:6" ht="24">
      <c r="A2380" s="190">
        <v>540806</v>
      </c>
      <c r="B2380" s="176" t="s">
        <v>2722</v>
      </c>
      <c r="C2380" s="169">
        <v>218152381</v>
      </c>
      <c r="D2380" s="178" t="s">
        <v>2220</v>
      </c>
      <c r="E2380" s="121">
        <v>97576</v>
      </c>
      <c r="F2380" s="120">
        <v>0</v>
      </c>
    </row>
    <row r="2381" spans="1:6" ht="24">
      <c r="A2381" s="190">
        <v>540806</v>
      </c>
      <c r="B2381" s="176" t="s">
        <v>2722</v>
      </c>
      <c r="C2381" s="169">
        <v>218552385</v>
      </c>
      <c r="D2381" s="178" t="s">
        <v>2221</v>
      </c>
      <c r="E2381" s="121">
        <v>45847</v>
      </c>
      <c r="F2381" s="120">
        <v>0</v>
      </c>
    </row>
    <row r="2382" spans="1:6" ht="24">
      <c r="A2382" s="190">
        <v>540806</v>
      </c>
      <c r="B2382" s="176" t="s">
        <v>2722</v>
      </c>
      <c r="C2382" s="169">
        <v>219052390</v>
      </c>
      <c r="D2382" s="178" t="s">
        <v>2222</v>
      </c>
      <c r="E2382" s="121">
        <v>137331</v>
      </c>
      <c r="F2382" s="120">
        <v>0</v>
      </c>
    </row>
    <row r="2383" spans="1:6" ht="24">
      <c r="A2383" s="190">
        <v>540806</v>
      </c>
      <c r="B2383" s="176" t="s">
        <v>2722</v>
      </c>
      <c r="C2383" s="169">
        <v>219952399</v>
      </c>
      <c r="D2383" s="178" t="s">
        <v>1202</v>
      </c>
      <c r="E2383" s="121">
        <v>179059</v>
      </c>
      <c r="F2383" s="120">
        <v>0</v>
      </c>
    </row>
    <row r="2384" spans="1:6" ht="24">
      <c r="A2384" s="190">
        <v>540806</v>
      </c>
      <c r="B2384" s="176" t="s">
        <v>2722</v>
      </c>
      <c r="C2384" s="169">
        <v>210552405</v>
      </c>
      <c r="D2384" s="178" t="s">
        <v>2223</v>
      </c>
      <c r="E2384" s="121">
        <v>83870</v>
      </c>
      <c r="F2384" s="120">
        <v>0</v>
      </c>
    </row>
    <row r="2385" spans="1:6" ht="24">
      <c r="A2385" s="190">
        <v>540806</v>
      </c>
      <c r="B2385" s="176" t="s">
        <v>2722</v>
      </c>
      <c r="C2385" s="169">
        <v>211152411</v>
      </c>
      <c r="D2385" s="178" t="s">
        <v>2224</v>
      </c>
      <c r="E2385" s="121">
        <v>92513</v>
      </c>
      <c r="F2385" s="120">
        <v>0</v>
      </c>
    </row>
    <row r="2386" spans="1:6" ht="24">
      <c r="A2386" s="190">
        <v>540806</v>
      </c>
      <c r="B2386" s="176" t="s">
        <v>2722</v>
      </c>
      <c r="C2386" s="169">
        <v>211852418</v>
      </c>
      <c r="D2386" s="178" t="s">
        <v>2225</v>
      </c>
      <c r="E2386" s="121">
        <v>97835</v>
      </c>
      <c r="F2386" s="120">
        <v>0</v>
      </c>
    </row>
    <row r="2387" spans="1:6" ht="24">
      <c r="A2387" s="190">
        <v>540806</v>
      </c>
      <c r="B2387" s="176" t="s">
        <v>2722</v>
      </c>
      <c r="C2387" s="169">
        <v>212752427</v>
      </c>
      <c r="D2387" s="178" t="s">
        <v>2226</v>
      </c>
      <c r="E2387" s="121">
        <v>179487</v>
      </c>
      <c r="F2387" s="120">
        <v>0</v>
      </c>
    </row>
    <row r="2388" spans="1:6" ht="24">
      <c r="A2388" s="190">
        <v>540806</v>
      </c>
      <c r="B2388" s="176" t="s">
        <v>2722</v>
      </c>
      <c r="C2388" s="169">
        <v>213552435</v>
      </c>
      <c r="D2388" s="178" t="s">
        <v>2227</v>
      </c>
      <c r="E2388" s="121">
        <v>53593</v>
      </c>
      <c r="F2388" s="120">
        <v>0</v>
      </c>
    </row>
    <row r="2389" spans="1:6" ht="24">
      <c r="A2389" s="190">
        <v>540806</v>
      </c>
      <c r="B2389" s="176" t="s">
        <v>2722</v>
      </c>
      <c r="C2389" s="169">
        <v>217352473</v>
      </c>
      <c r="D2389" s="178" t="s">
        <v>1899</v>
      </c>
      <c r="E2389" s="121">
        <v>127024</v>
      </c>
      <c r="F2389" s="120">
        <v>0</v>
      </c>
    </row>
    <row r="2390" spans="1:6" ht="24">
      <c r="A2390" s="190">
        <v>540806</v>
      </c>
      <c r="B2390" s="176" t="s">
        <v>2722</v>
      </c>
      <c r="C2390" s="169">
        <v>218052480</v>
      </c>
      <c r="D2390" s="178" t="s">
        <v>1006</v>
      </c>
      <c r="E2390" s="121">
        <v>20559</v>
      </c>
      <c r="F2390" s="120">
        <v>0</v>
      </c>
    </row>
    <row r="2391" spans="1:6" ht="24">
      <c r="A2391" s="190">
        <v>540806</v>
      </c>
      <c r="B2391" s="176" t="s">
        <v>2722</v>
      </c>
      <c r="C2391" s="169">
        <v>219052490</v>
      </c>
      <c r="D2391" s="178" t="s">
        <v>2228</v>
      </c>
      <c r="E2391" s="121">
        <v>241966</v>
      </c>
      <c r="F2391" s="120">
        <v>0</v>
      </c>
    </row>
    <row r="2392" spans="1:6" ht="24">
      <c r="A2392" s="190">
        <v>540806</v>
      </c>
      <c r="B2392" s="176" t="s">
        <v>2722</v>
      </c>
      <c r="C2392" s="169">
        <v>210652506</v>
      </c>
      <c r="D2392" s="178" t="s">
        <v>2229</v>
      </c>
      <c r="E2392" s="121">
        <v>43571</v>
      </c>
      <c r="F2392" s="120">
        <v>0</v>
      </c>
    </row>
    <row r="2393" spans="1:6" ht="24">
      <c r="A2393" s="190">
        <v>540806</v>
      </c>
      <c r="B2393" s="176" t="s">
        <v>2722</v>
      </c>
      <c r="C2393" s="169">
        <v>212052520</v>
      </c>
      <c r="D2393" s="178" t="s">
        <v>2230</v>
      </c>
      <c r="E2393" s="121">
        <v>90243</v>
      </c>
      <c r="F2393" s="120">
        <v>0</v>
      </c>
    </row>
    <row r="2394" spans="1:6" ht="24">
      <c r="A2394" s="190">
        <v>540806</v>
      </c>
      <c r="B2394" s="176" t="s">
        <v>2722</v>
      </c>
      <c r="C2394" s="169">
        <v>214052540</v>
      </c>
      <c r="D2394" s="178" t="s">
        <v>2231</v>
      </c>
      <c r="E2394" s="121">
        <v>103370</v>
      </c>
      <c r="F2394" s="120">
        <v>0</v>
      </c>
    </row>
    <row r="2395" spans="1:6" ht="24">
      <c r="A2395" s="190">
        <v>540806</v>
      </c>
      <c r="B2395" s="176" t="s">
        <v>2722</v>
      </c>
      <c r="C2395" s="169">
        <v>216052560</v>
      </c>
      <c r="D2395" s="178" t="s">
        <v>2232</v>
      </c>
      <c r="E2395" s="121">
        <v>79081</v>
      </c>
      <c r="F2395" s="120">
        <v>0</v>
      </c>
    </row>
    <row r="2396" spans="1:6" ht="24">
      <c r="A2396" s="190">
        <v>540806</v>
      </c>
      <c r="B2396" s="176" t="s">
        <v>2722</v>
      </c>
      <c r="C2396" s="169">
        <v>216552565</v>
      </c>
      <c r="D2396" s="178" t="s">
        <v>2233</v>
      </c>
      <c r="E2396" s="121">
        <v>38219</v>
      </c>
      <c r="F2396" s="120">
        <v>0</v>
      </c>
    </row>
    <row r="2397" spans="1:6" ht="24">
      <c r="A2397" s="190">
        <v>540806</v>
      </c>
      <c r="B2397" s="176" t="s">
        <v>2722</v>
      </c>
      <c r="C2397" s="169">
        <v>217352573</v>
      </c>
      <c r="D2397" s="178" t="s">
        <v>2234</v>
      </c>
      <c r="E2397" s="121">
        <v>68187</v>
      </c>
      <c r="F2397" s="120">
        <v>0</v>
      </c>
    </row>
    <row r="2398" spans="1:6" ht="24">
      <c r="A2398" s="190">
        <v>540806</v>
      </c>
      <c r="B2398" s="176" t="s">
        <v>2722</v>
      </c>
      <c r="C2398" s="169">
        <v>218552585</v>
      </c>
      <c r="D2398" s="178" t="s">
        <v>2235</v>
      </c>
      <c r="E2398" s="121">
        <v>114960</v>
      </c>
      <c r="F2398" s="120">
        <v>0</v>
      </c>
    </row>
    <row r="2399" spans="1:6" ht="24">
      <c r="A2399" s="190">
        <v>540806</v>
      </c>
      <c r="B2399" s="176" t="s">
        <v>2722</v>
      </c>
      <c r="C2399" s="169">
        <v>211252612</v>
      </c>
      <c r="D2399" s="178" t="s">
        <v>1931</v>
      </c>
      <c r="E2399" s="121">
        <v>160533</v>
      </c>
      <c r="F2399" s="120">
        <v>0</v>
      </c>
    </row>
    <row r="2400" spans="1:6" ht="24">
      <c r="A2400" s="190">
        <v>540806</v>
      </c>
      <c r="B2400" s="176" t="s">
        <v>2722</v>
      </c>
      <c r="C2400" s="169">
        <v>212152621</v>
      </c>
      <c r="D2400" s="178" t="s">
        <v>2236</v>
      </c>
      <c r="E2400" s="121">
        <v>249421</v>
      </c>
      <c r="F2400" s="120">
        <v>0</v>
      </c>
    </row>
    <row r="2401" spans="1:6" ht="24">
      <c r="A2401" s="190">
        <v>540806</v>
      </c>
      <c r="B2401" s="176" t="s">
        <v>2722</v>
      </c>
      <c r="C2401" s="169">
        <v>217852678</v>
      </c>
      <c r="D2401" s="178" t="s">
        <v>2237</v>
      </c>
      <c r="E2401" s="121">
        <v>266255</v>
      </c>
      <c r="F2401" s="120">
        <v>0</v>
      </c>
    </row>
    <row r="2402" spans="1:6" ht="24">
      <c r="A2402" s="190">
        <v>540806</v>
      </c>
      <c r="B2402" s="176" t="s">
        <v>2722</v>
      </c>
      <c r="C2402" s="169">
        <v>218352683</v>
      </c>
      <c r="D2402" s="178" t="s">
        <v>2238</v>
      </c>
      <c r="E2402" s="121">
        <v>139398</v>
      </c>
      <c r="F2402" s="120">
        <v>0</v>
      </c>
    </row>
    <row r="2403" spans="1:6" ht="24">
      <c r="A2403" s="190">
        <v>540806</v>
      </c>
      <c r="B2403" s="176" t="s">
        <v>2722</v>
      </c>
      <c r="C2403" s="169">
        <v>218552685</v>
      </c>
      <c r="D2403" s="178" t="s">
        <v>1935</v>
      </c>
      <c r="E2403" s="121">
        <v>58016</v>
      </c>
      <c r="F2403" s="120">
        <v>0</v>
      </c>
    </row>
    <row r="2404" spans="1:6" ht="24">
      <c r="A2404" s="190">
        <v>540806</v>
      </c>
      <c r="B2404" s="176" t="s">
        <v>2722</v>
      </c>
      <c r="C2404" s="169">
        <v>218752687</v>
      </c>
      <c r="D2404" s="178" t="s">
        <v>2239</v>
      </c>
      <c r="E2404" s="121">
        <v>130950</v>
      </c>
      <c r="F2404" s="120">
        <v>0</v>
      </c>
    </row>
    <row r="2405" spans="1:6" ht="24">
      <c r="A2405" s="190">
        <v>540806</v>
      </c>
      <c r="B2405" s="176" t="s">
        <v>2722</v>
      </c>
      <c r="C2405" s="169">
        <v>219352693</v>
      </c>
      <c r="D2405" s="178" t="s">
        <v>1409</v>
      </c>
      <c r="E2405" s="121">
        <v>116221</v>
      </c>
      <c r="F2405" s="120">
        <v>0</v>
      </c>
    </row>
    <row r="2406" spans="1:6" ht="24">
      <c r="A2406" s="190">
        <v>540806</v>
      </c>
      <c r="B2406" s="176" t="s">
        <v>2722</v>
      </c>
      <c r="C2406" s="169">
        <v>219452694</v>
      </c>
      <c r="D2406" s="178" t="s">
        <v>2240</v>
      </c>
      <c r="E2406" s="121">
        <v>47032</v>
      </c>
      <c r="F2406" s="120">
        <v>0</v>
      </c>
    </row>
    <row r="2407" spans="1:6" ht="24">
      <c r="A2407" s="190">
        <v>540806</v>
      </c>
      <c r="B2407" s="176" t="s">
        <v>2722</v>
      </c>
      <c r="C2407" s="169">
        <v>219652696</v>
      </c>
      <c r="D2407" s="178" t="s">
        <v>1269</v>
      </c>
      <c r="E2407" s="121">
        <v>149798</v>
      </c>
      <c r="F2407" s="120">
        <v>0</v>
      </c>
    </row>
    <row r="2408" spans="1:6" ht="24">
      <c r="A2408" s="190">
        <v>540806</v>
      </c>
      <c r="B2408" s="176" t="s">
        <v>2722</v>
      </c>
      <c r="C2408" s="169">
        <v>219952699</v>
      </c>
      <c r="D2408" s="178" t="s">
        <v>2241</v>
      </c>
      <c r="E2408" s="121">
        <v>82123</v>
      </c>
      <c r="F2408" s="120">
        <v>0</v>
      </c>
    </row>
    <row r="2409" spans="1:6" ht="24">
      <c r="A2409" s="190">
        <v>540806</v>
      </c>
      <c r="B2409" s="176" t="s">
        <v>2722</v>
      </c>
      <c r="C2409" s="169">
        <v>212052720</v>
      </c>
      <c r="D2409" s="178" t="s">
        <v>2242</v>
      </c>
      <c r="E2409" s="121">
        <v>43739</v>
      </c>
      <c r="F2409" s="120">
        <v>0</v>
      </c>
    </row>
    <row r="2410" spans="1:6" ht="24">
      <c r="A2410" s="190">
        <v>540806</v>
      </c>
      <c r="B2410" s="176" t="s">
        <v>2722</v>
      </c>
      <c r="C2410" s="169">
        <v>218652786</v>
      </c>
      <c r="D2410" s="178" t="s">
        <v>2243</v>
      </c>
      <c r="E2410" s="121">
        <v>129473</v>
      </c>
      <c r="F2410" s="120">
        <v>0</v>
      </c>
    </row>
    <row r="2411" spans="1:6" ht="24">
      <c r="A2411" s="190">
        <v>540806</v>
      </c>
      <c r="B2411" s="176" t="s">
        <v>2722</v>
      </c>
      <c r="C2411" s="169">
        <v>218852788</v>
      </c>
      <c r="D2411" s="178" t="s">
        <v>2244</v>
      </c>
      <c r="E2411" s="121">
        <v>68761</v>
      </c>
      <c r="F2411" s="120">
        <v>0</v>
      </c>
    </row>
    <row r="2412" spans="1:6" ht="24">
      <c r="A2412" s="190">
        <v>540806</v>
      </c>
      <c r="B2412" s="176" t="s">
        <v>2722</v>
      </c>
      <c r="C2412" s="169">
        <v>213852838</v>
      </c>
      <c r="D2412" s="178" t="s">
        <v>2245</v>
      </c>
      <c r="E2412" s="121">
        <v>318047</v>
      </c>
      <c r="F2412" s="120">
        <v>0</v>
      </c>
    </row>
    <row r="2413" spans="1:6" ht="24">
      <c r="A2413" s="190">
        <v>540806</v>
      </c>
      <c r="B2413" s="176" t="s">
        <v>2722</v>
      </c>
      <c r="C2413" s="169">
        <v>218552885</v>
      </c>
      <c r="D2413" s="178" t="s">
        <v>2246</v>
      </c>
      <c r="E2413" s="121">
        <v>65310</v>
      </c>
      <c r="F2413" s="120">
        <v>0</v>
      </c>
    </row>
    <row r="2414" spans="1:6" ht="24">
      <c r="A2414" s="190">
        <v>540806</v>
      </c>
      <c r="B2414" s="176" t="s">
        <v>2722</v>
      </c>
      <c r="C2414" s="169">
        <v>210354003</v>
      </c>
      <c r="D2414" s="178" t="s">
        <v>2247</v>
      </c>
      <c r="E2414" s="121">
        <v>288734</v>
      </c>
      <c r="F2414" s="120">
        <v>0</v>
      </c>
    </row>
    <row r="2415" spans="1:6" ht="24">
      <c r="A2415" s="190">
        <v>540806</v>
      </c>
      <c r="B2415" s="176" t="s">
        <v>2722</v>
      </c>
      <c r="C2415" s="169">
        <v>215154051</v>
      </c>
      <c r="D2415" s="178" t="s">
        <v>2248</v>
      </c>
      <c r="E2415" s="121">
        <v>76081</v>
      </c>
      <c r="F2415" s="120">
        <v>0</v>
      </c>
    </row>
    <row r="2416" spans="1:6" ht="24">
      <c r="A2416" s="190">
        <v>540806</v>
      </c>
      <c r="B2416" s="176" t="s">
        <v>2722</v>
      </c>
      <c r="C2416" s="169">
        <v>219954099</v>
      </c>
      <c r="D2416" s="178" t="s">
        <v>2249</v>
      </c>
      <c r="E2416" s="121">
        <v>57404</v>
      </c>
      <c r="F2416" s="120">
        <v>0</v>
      </c>
    </row>
    <row r="2417" spans="1:6" ht="24">
      <c r="A2417" s="190">
        <v>540806</v>
      </c>
      <c r="B2417" s="176" t="s">
        <v>2722</v>
      </c>
      <c r="C2417" s="169">
        <v>210954109</v>
      </c>
      <c r="D2417" s="178" t="s">
        <v>2250</v>
      </c>
      <c r="E2417" s="121">
        <v>56575</v>
      </c>
      <c r="F2417" s="120">
        <v>0</v>
      </c>
    </row>
    <row r="2418" spans="1:6" ht="24">
      <c r="A2418" s="190">
        <v>540806</v>
      </c>
      <c r="B2418" s="176" t="s">
        <v>2722</v>
      </c>
      <c r="C2418" s="169">
        <v>212554125</v>
      </c>
      <c r="D2418" s="178" t="s">
        <v>2251</v>
      </c>
      <c r="E2418" s="121">
        <v>19559</v>
      </c>
      <c r="F2418" s="120">
        <v>0</v>
      </c>
    </row>
    <row r="2419" spans="1:6" ht="24">
      <c r="A2419" s="190">
        <v>540806</v>
      </c>
      <c r="B2419" s="176" t="s">
        <v>2722</v>
      </c>
      <c r="C2419" s="169">
        <v>212854128</v>
      </c>
      <c r="D2419" s="178" t="s">
        <v>2252</v>
      </c>
      <c r="E2419" s="121">
        <v>89540</v>
      </c>
      <c r="F2419" s="120">
        <v>0</v>
      </c>
    </row>
    <row r="2420" spans="1:6" ht="24">
      <c r="A2420" s="190">
        <v>540806</v>
      </c>
      <c r="B2420" s="176" t="s">
        <v>2722</v>
      </c>
      <c r="C2420" s="169">
        <v>217254172</v>
      </c>
      <c r="D2420" s="178" t="s">
        <v>2253</v>
      </c>
      <c r="E2420" s="121">
        <v>99335</v>
      </c>
      <c r="F2420" s="120">
        <v>0</v>
      </c>
    </row>
    <row r="2421" spans="1:6" ht="24">
      <c r="A2421" s="190">
        <v>540806</v>
      </c>
      <c r="B2421" s="176" t="s">
        <v>2722</v>
      </c>
      <c r="C2421" s="169">
        <v>217454174</v>
      </c>
      <c r="D2421" s="178" t="s">
        <v>2254</v>
      </c>
      <c r="E2421" s="121">
        <v>71357</v>
      </c>
      <c r="F2421" s="120">
        <v>0</v>
      </c>
    </row>
    <row r="2422" spans="1:6" ht="24">
      <c r="A2422" s="190">
        <v>540806</v>
      </c>
      <c r="B2422" s="176" t="s">
        <v>2722</v>
      </c>
      <c r="C2422" s="169">
        <v>210654206</v>
      </c>
      <c r="D2422" s="178" t="s">
        <v>2255</v>
      </c>
      <c r="E2422" s="121">
        <v>148110</v>
      </c>
      <c r="F2422" s="120">
        <v>0</v>
      </c>
    </row>
    <row r="2423" spans="1:6" ht="24">
      <c r="A2423" s="190">
        <v>540806</v>
      </c>
      <c r="B2423" s="176" t="s">
        <v>2722</v>
      </c>
      <c r="C2423" s="169">
        <v>212354223</v>
      </c>
      <c r="D2423" s="178" t="s">
        <v>2256</v>
      </c>
      <c r="E2423" s="121">
        <v>72820</v>
      </c>
      <c r="F2423" s="120">
        <v>0</v>
      </c>
    </row>
    <row r="2424" spans="1:6" ht="24">
      <c r="A2424" s="190">
        <v>540806</v>
      </c>
      <c r="B2424" s="176" t="s">
        <v>2722</v>
      </c>
      <c r="C2424" s="169">
        <v>213954239</v>
      </c>
      <c r="D2424" s="178" t="s">
        <v>2257</v>
      </c>
      <c r="E2424" s="121">
        <v>31761</v>
      </c>
      <c r="F2424" s="120">
        <v>0</v>
      </c>
    </row>
    <row r="2425" spans="1:6" ht="24">
      <c r="A2425" s="190">
        <v>540806</v>
      </c>
      <c r="B2425" s="176" t="s">
        <v>2722</v>
      </c>
      <c r="C2425" s="169">
        <v>214554245</v>
      </c>
      <c r="D2425" s="178" t="s">
        <v>2031</v>
      </c>
      <c r="E2425" s="121">
        <v>122621</v>
      </c>
      <c r="F2425" s="120">
        <v>0</v>
      </c>
    </row>
    <row r="2426" spans="1:6" ht="24">
      <c r="A2426" s="190">
        <v>540806</v>
      </c>
      <c r="B2426" s="176" t="s">
        <v>2722</v>
      </c>
      <c r="C2426" s="169">
        <v>215054250</v>
      </c>
      <c r="D2426" s="178" t="s">
        <v>2258</v>
      </c>
      <c r="E2426" s="121">
        <v>109595</v>
      </c>
      <c r="F2426" s="120">
        <v>0</v>
      </c>
    </row>
    <row r="2427" spans="1:6" ht="24">
      <c r="A2427" s="190">
        <v>540806</v>
      </c>
      <c r="B2427" s="176" t="s">
        <v>2722</v>
      </c>
      <c r="C2427" s="169">
        <v>216154261</v>
      </c>
      <c r="D2427" s="178" t="s">
        <v>2259</v>
      </c>
      <c r="E2427" s="121">
        <v>157007</v>
      </c>
      <c r="F2427" s="120">
        <v>0</v>
      </c>
    </row>
    <row r="2428" spans="1:6" ht="24">
      <c r="A2428" s="190">
        <v>540806</v>
      </c>
      <c r="B2428" s="176" t="s">
        <v>2722</v>
      </c>
      <c r="C2428" s="169">
        <v>211354313</v>
      </c>
      <c r="D2428" s="178" t="s">
        <v>2260</v>
      </c>
      <c r="E2428" s="121">
        <v>54166</v>
      </c>
      <c r="F2428" s="120">
        <v>0</v>
      </c>
    </row>
    <row r="2429" spans="1:6" ht="24">
      <c r="A2429" s="190">
        <v>540806</v>
      </c>
      <c r="B2429" s="176" t="s">
        <v>2722</v>
      </c>
      <c r="C2429" s="169">
        <v>214454344</v>
      </c>
      <c r="D2429" s="178" t="s">
        <v>2261</v>
      </c>
      <c r="E2429" s="121">
        <v>113791</v>
      </c>
      <c r="F2429" s="120">
        <v>0</v>
      </c>
    </row>
    <row r="2430" spans="1:6" ht="24">
      <c r="A2430" s="190">
        <v>540806</v>
      </c>
      <c r="B2430" s="176" t="s">
        <v>2722</v>
      </c>
      <c r="C2430" s="169">
        <v>214754347</v>
      </c>
      <c r="D2430" s="178" t="s">
        <v>2262</v>
      </c>
      <c r="E2430" s="121">
        <v>17773</v>
      </c>
      <c r="F2430" s="120">
        <v>0</v>
      </c>
    </row>
    <row r="2431" spans="1:6" ht="24">
      <c r="A2431" s="190">
        <v>540806</v>
      </c>
      <c r="B2431" s="176" t="s">
        <v>2722</v>
      </c>
      <c r="C2431" s="169">
        <v>217754377</v>
      </c>
      <c r="D2431" s="178" t="s">
        <v>2263</v>
      </c>
      <c r="E2431" s="121">
        <v>43813</v>
      </c>
      <c r="F2431" s="120">
        <v>0</v>
      </c>
    </row>
    <row r="2432" spans="1:6" ht="24">
      <c r="A2432" s="190">
        <v>540806</v>
      </c>
      <c r="B2432" s="176" t="s">
        <v>2722</v>
      </c>
      <c r="C2432" s="169">
        <v>218554385</v>
      </c>
      <c r="D2432" s="178" t="s">
        <v>2264</v>
      </c>
      <c r="E2432" s="121">
        <v>99791</v>
      </c>
      <c r="F2432" s="120">
        <v>0</v>
      </c>
    </row>
    <row r="2433" spans="1:6" ht="24">
      <c r="A2433" s="190">
        <v>540806</v>
      </c>
      <c r="B2433" s="176" t="s">
        <v>2722</v>
      </c>
      <c r="C2433" s="169">
        <v>219854398</v>
      </c>
      <c r="D2433" s="178" t="s">
        <v>2265</v>
      </c>
      <c r="E2433" s="121">
        <v>68735</v>
      </c>
      <c r="F2433" s="120">
        <v>0</v>
      </c>
    </row>
    <row r="2434" spans="1:6" ht="24">
      <c r="A2434" s="190">
        <v>540806</v>
      </c>
      <c r="B2434" s="176" t="s">
        <v>2722</v>
      </c>
      <c r="C2434" s="169">
        <v>210554405</v>
      </c>
      <c r="D2434" s="178" t="s">
        <v>2266</v>
      </c>
      <c r="E2434" s="121">
        <v>343048</v>
      </c>
      <c r="F2434" s="120">
        <v>0</v>
      </c>
    </row>
    <row r="2435" spans="1:6" ht="24">
      <c r="A2435" s="190">
        <v>540806</v>
      </c>
      <c r="B2435" s="176" t="s">
        <v>2722</v>
      </c>
      <c r="C2435" s="169">
        <v>211854418</v>
      </c>
      <c r="D2435" s="178" t="s">
        <v>2267</v>
      </c>
      <c r="E2435" s="121">
        <v>25313</v>
      </c>
      <c r="F2435" s="120">
        <v>0</v>
      </c>
    </row>
    <row r="2436" spans="1:6" ht="24">
      <c r="A2436" s="190">
        <v>540806</v>
      </c>
      <c r="B2436" s="176" t="s">
        <v>2722</v>
      </c>
      <c r="C2436" s="169">
        <v>218054480</v>
      </c>
      <c r="D2436" s="178" t="s">
        <v>2268</v>
      </c>
      <c r="E2436" s="121">
        <v>27795</v>
      </c>
      <c r="F2436" s="120">
        <v>0</v>
      </c>
    </row>
    <row r="2437" spans="1:6" ht="24">
      <c r="A2437" s="190">
        <v>540806</v>
      </c>
      <c r="B2437" s="176" t="s">
        <v>2722</v>
      </c>
      <c r="C2437" s="169">
        <v>219854498</v>
      </c>
      <c r="D2437" s="178" t="s">
        <v>2269</v>
      </c>
      <c r="E2437" s="121">
        <v>665388</v>
      </c>
      <c r="F2437" s="120">
        <v>0</v>
      </c>
    </row>
    <row r="2438" spans="1:6" ht="24">
      <c r="A2438" s="190">
        <v>540806</v>
      </c>
      <c r="B2438" s="176" t="s">
        <v>2722</v>
      </c>
      <c r="C2438" s="169">
        <v>211854518</v>
      </c>
      <c r="D2438" s="178" t="s">
        <v>2270</v>
      </c>
      <c r="E2438" s="121">
        <v>325069</v>
      </c>
      <c r="F2438" s="120">
        <v>0</v>
      </c>
    </row>
    <row r="2439" spans="1:6" ht="24">
      <c r="A2439" s="190">
        <v>540806</v>
      </c>
      <c r="B2439" s="176" t="s">
        <v>2722</v>
      </c>
      <c r="C2439" s="169">
        <v>212054520</v>
      </c>
      <c r="D2439" s="178" t="s">
        <v>2271</v>
      </c>
      <c r="E2439" s="121">
        <v>32276</v>
      </c>
      <c r="F2439" s="120">
        <v>0</v>
      </c>
    </row>
    <row r="2440" spans="1:6" ht="24">
      <c r="A2440" s="190">
        <v>540806</v>
      </c>
      <c r="B2440" s="176" t="s">
        <v>2722</v>
      </c>
      <c r="C2440" s="169">
        <v>215354553</v>
      </c>
      <c r="D2440" s="178" t="s">
        <v>2272</v>
      </c>
      <c r="E2440" s="121">
        <v>43117</v>
      </c>
      <c r="F2440" s="120">
        <v>0</v>
      </c>
    </row>
    <row r="2441" spans="1:6" ht="24">
      <c r="A2441" s="190">
        <v>540806</v>
      </c>
      <c r="B2441" s="176" t="s">
        <v>2722</v>
      </c>
      <c r="C2441" s="169">
        <v>219954599</v>
      </c>
      <c r="D2441" s="178" t="s">
        <v>2273</v>
      </c>
      <c r="E2441" s="121">
        <v>32276</v>
      </c>
      <c r="F2441" s="120">
        <v>0</v>
      </c>
    </row>
    <row r="2442" spans="1:6" ht="24">
      <c r="A2442" s="190">
        <v>540806</v>
      </c>
      <c r="B2442" s="176" t="s">
        <v>2722</v>
      </c>
      <c r="C2442" s="169">
        <v>216054660</v>
      </c>
      <c r="D2442" s="178" t="s">
        <v>2274</v>
      </c>
      <c r="E2442" s="121">
        <v>78634</v>
      </c>
      <c r="F2442" s="120">
        <v>0</v>
      </c>
    </row>
    <row r="2443" spans="1:6" ht="24">
      <c r="A2443" s="190">
        <v>540806</v>
      </c>
      <c r="B2443" s="176" t="s">
        <v>2722</v>
      </c>
      <c r="C2443" s="169">
        <v>217054670</v>
      </c>
      <c r="D2443" s="178" t="s">
        <v>2275</v>
      </c>
      <c r="E2443" s="121">
        <v>127921</v>
      </c>
      <c r="F2443" s="120">
        <v>0</v>
      </c>
    </row>
    <row r="2444" spans="1:6" ht="24">
      <c r="A2444" s="190">
        <v>540806</v>
      </c>
      <c r="B2444" s="176" t="s">
        <v>2722</v>
      </c>
      <c r="C2444" s="169">
        <v>217354673</v>
      </c>
      <c r="D2444" s="178" t="s">
        <v>1937</v>
      </c>
      <c r="E2444" s="121">
        <v>31308</v>
      </c>
      <c r="F2444" s="120">
        <v>0</v>
      </c>
    </row>
    <row r="2445" spans="1:6" ht="24">
      <c r="A2445" s="190">
        <v>540806</v>
      </c>
      <c r="B2445" s="176" t="s">
        <v>2722</v>
      </c>
      <c r="C2445" s="170">
        <v>218054680</v>
      </c>
      <c r="D2445" s="178" t="s">
        <v>2276</v>
      </c>
      <c r="E2445" s="121">
        <v>25371</v>
      </c>
      <c r="F2445" s="120">
        <v>0</v>
      </c>
    </row>
    <row r="2446" spans="1:6" ht="24">
      <c r="A2446" s="190">
        <v>540806</v>
      </c>
      <c r="B2446" s="176" t="s">
        <v>2722</v>
      </c>
      <c r="C2446" s="170">
        <v>212054720</v>
      </c>
      <c r="D2446" s="178" t="s">
        <v>2277</v>
      </c>
      <c r="E2446" s="121">
        <v>215037</v>
      </c>
      <c r="F2446" s="120">
        <v>0</v>
      </c>
    </row>
    <row r="2447" spans="1:6" ht="24">
      <c r="A2447" s="190">
        <v>540806</v>
      </c>
      <c r="B2447" s="176" t="s">
        <v>2722</v>
      </c>
      <c r="C2447" s="170">
        <v>214354743</v>
      </c>
      <c r="D2447" s="178" t="s">
        <v>2278</v>
      </c>
      <c r="E2447" s="121">
        <v>42548</v>
      </c>
      <c r="F2447" s="120">
        <v>0</v>
      </c>
    </row>
    <row r="2448" spans="1:6" ht="24">
      <c r="A2448" s="190">
        <v>540806</v>
      </c>
      <c r="B2448" s="176" t="s">
        <v>2722</v>
      </c>
      <c r="C2448" s="170">
        <v>210054800</v>
      </c>
      <c r="D2448" s="178" t="s">
        <v>2279</v>
      </c>
      <c r="E2448" s="121">
        <v>147238</v>
      </c>
      <c r="F2448" s="120">
        <v>0</v>
      </c>
    </row>
    <row r="2449" spans="1:6" ht="24">
      <c r="A2449" s="190">
        <v>540806</v>
      </c>
      <c r="B2449" s="176" t="s">
        <v>2722</v>
      </c>
      <c r="C2449" s="170">
        <v>211054810</v>
      </c>
      <c r="D2449" s="178" t="s">
        <v>2280</v>
      </c>
      <c r="E2449" s="121">
        <v>319327</v>
      </c>
      <c r="F2449" s="120">
        <v>0</v>
      </c>
    </row>
    <row r="2450" spans="1:6" ht="24">
      <c r="A2450" s="190">
        <v>540806</v>
      </c>
      <c r="B2450" s="176" t="s">
        <v>2722</v>
      </c>
      <c r="C2450" s="170">
        <v>212054820</v>
      </c>
      <c r="D2450" s="178" t="s">
        <v>1290</v>
      </c>
      <c r="E2450" s="121">
        <v>126653</v>
      </c>
      <c r="F2450" s="120">
        <v>0</v>
      </c>
    </row>
    <row r="2451" spans="1:6" ht="24">
      <c r="A2451" s="190">
        <v>540806</v>
      </c>
      <c r="B2451" s="176" t="s">
        <v>2722</v>
      </c>
      <c r="C2451" s="169">
        <v>217154871</v>
      </c>
      <c r="D2451" s="178" t="s">
        <v>2281</v>
      </c>
      <c r="E2451" s="121">
        <v>41331</v>
      </c>
      <c r="F2451" s="120">
        <v>0</v>
      </c>
    </row>
    <row r="2452" spans="1:6" ht="24">
      <c r="A2452" s="190">
        <v>540806</v>
      </c>
      <c r="B2452" s="176" t="s">
        <v>2722</v>
      </c>
      <c r="C2452" s="170">
        <v>217454874</v>
      </c>
      <c r="D2452" s="178" t="s">
        <v>2282</v>
      </c>
      <c r="E2452" s="121">
        <v>430868</v>
      </c>
      <c r="F2452" s="120">
        <v>0</v>
      </c>
    </row>
    <row r="2453" spans="1:6" ht="24">
      <c r="A2453" s="190">
        <v>540806</v>
      </c>
      <c r="B2453" s="176" t="s">
        <v>2722</v>
      </c>
      <c r="C2453" s="170">
        <v>211163111</v>
      </c>
      <c r="D2453" s="178" t="s">
        <v>1448</v>
      </c>
      <c r="E2453" s="121">
        <v>25976</v>
      </c>
      <c r="F2453" s="120">
        <v>0</v>
      </c>
    </row>
    <row r="2454" spans="1:6" ht="24">
      <c r="A2454" s="190">
        <v>540806</v>
      </c>
      <c r="B2454" s="176" t="s">
        <v>2722</v>
      </c>
      <c r="C2454" s="169">
        <v>213063130</v>
      </c>
      <c r="D2454" s="178" t="s">
        <v>2283</v>
      </c>
      <c r="E2454" s="121">
        <v>524875</v>
      </c>
      <c r="F2454" s="120">
        <v>0</v>
      </c>
    </row>
    <row r="2455" spans="1:6" ht="24">
      <c r="A2455" s="190">
        <v>540806</v>
      </c>
      <c r="B2455" s="176" t="s">
        <v>2722</v>
      </c>
      <c r="C2455" s="170">
        <v>219063190</v>
      </c>
      <c r="D2455" s="178" t="s">
        <v>2284</v>
      </c>
      <c r="E2455" s="121">
        <v>188796</v>
      </c>
      <c r="F2455" s="120">
        <v>0</v>
      </c>
    </row>
    <row r="2456" spans="1:6" ht="24">
      <c r="A2456" s="190">
        <v>540806</v>
      </c>
      <c r="B2456" s="176" t="s">
        <v>2722</v>
      </c>
      <c r="C2456" s="170">
        <v>211263212</v>
      </c>
      <c r="D2456" s="178" t="s">
        <v>1001</v>
      </c>
      <c r="E2456" s="121">
        <v>43143</v>
      </c>
      <c r="F2456" s="120">
        <v>0</v>
      </c>
    </row>
    <row r="2457" spans="1:6" ht="24">
      <c r="A2457" s="190">
        <v>540806</v>
      </c>
      <c r="B2457" s="176" t="s">
        <v>2722</v>
      </c>
      <c r="C2457" s="170">
        <v>217263272</v>
      </c>
      <c r="D2457" s="178" t="s">
        <v>2285</v>
      </c>
      <c r="E2457" s="121">
        <v>96518</v>
      </c>
      <c r="F2457" s="120">
        <v>0</v>
      </c>
    </row>
    <row r="2458" spans="1:6" ht="24">
      <c r="A2458" s="190">
        <v>540806</v>
      </c>
      <c r="B2458" s="176" t="s">
        <v>2722</v>
      </c>
      <c r="C2458" s="170">
        <v>210263302</v>
      </c>
      <c r="D2458" s="178" t="s">
        <v>2286</v>
      </c>
      <c r="E2458" s="121">
        <v>63791</v>
      </c>
      <c r="F2458" s="120">
        <v>0</v>
      </c>
    </row>
    <row r="2459" spans="1:6" ht="24">
      <c r="A2459" s="190">
        <v>540806</v>
      </c>
      <c r="B2459" s="176" t="s">
        <v>2722</v>
      </c>
      <c r="C2459" s="170">
        <v>210163401</v>
      </c>
      <c r="D2459" s="178" t="s">
        <v>2287</v>
      </c>
      <c r="E2459" s="121">
        <v>261317</v>
      </c>
      <c r="F2459" s="120">
        <v>0</v>
      </c>
    </row>
    <row r="2460" spans="1:6" ht="24">
      <c r="A2460" s="190">
        <v>540806</v>
      </c>
      <c r="B2460" s="176" t="s">
        <v>2722</v>
      </c>
      <c r="C2460" s="170">
        <v>217063470</v>
      </c>
      <c r="D2460" s="178" t="s">
        <v>2288</v>
      </c>
      <c r="E2460" s="121">
        <v>301428</v>
      </c>
      <c r="F2460" s="120">
        <v>0</v>
      </c>
    </row>
    <row r="2461" spans="1:6" ht="24">
      <c r="A2461" s="190">
        <v>540806</v>
      </c>
      <c r="B2461" s="176" t="s">
        <v>2722</v>
      </c>
      <c r="C2461" s="170">
        <v>214863548</v>
      </c>
      <c r="D2461" s="178" t="s">
        <v>2289</v>
      </c>
      <c r="E2461" s="121">
        <v>84923</v>
      </c>
      <c r="F2461" s="120">
        <v>0</v>
      </c>
    </row>
    <row r="2462" spans="1:6" ht="24">
      <c r="A2462" s="190">
        <v>540806</v>
      </c>
      <c r="B2462" s="176" t="s">
        <v>2722</v>
      </c>
      <c r="C2462" s="170">
        <v>219463594</v>
      </c>
      <c r="D2462" s="178" t="s">
        <v>2290</v>
      </c>
      <c r="E2462" s="121">
        <v>250989</v>
      </c>
      <c r="F2462" s="120">
        <v>0</v>
      </c>
    </row>
    <row r="2463" spans="1:6" ht="24">
      <c r="A2463" s="190">
        <v>540806</v>
      </c>
      <c r="B2463" s="176" t="s">
        <v>2722</v>
      </c>
      <c r="C2463" s="170">
        <v>219063690</v>
      </c>
      <c r="D2463" s="178" t="s">
        <v>2291</v>
      </c>
      <c r="E2463" s="121">
        <v>55859</v>
      </c>
      <c r="F2463" s="120">
        <v>0</v>
      </c>
    </row>
    <row r="2464" spans="1:6" ht="24">
      <c r="A2464" s="190">
        <v>540806</v>
      </c>
      <c r="B2464" s="176" t="s">
        <v>2722</v>
      </c>
      <c r="C2464" s="170">
        <v>214566045</v>
      </c>
      <c r="D2464" s="178" t="s">
        <v>2292</v>
      </c>
      <c r="E2464" s="121">
        <v>85013</v>
      </c>
      <c r="F2464" s="120">
        <v>0</v>
      </c>
    </row>
    <row r="2465" spans="1:6" ht="24">
      <c r="A2465" s="190">
        <v>540806</v>
      </c>
      <c r="B2465" s="176" t="s">
        <v>2722</v>
      </c>
      <c r="C2465" s="170">
        <v>217566075</v>
      </c>
      <c r="D2465" s="178" t="s">
        <v>1671</v>
      </c>
      <c r="E2465" s="121">
        <v>48593</v>
      </c>
      <c r="F2465" s="120">
        <v>0</v>
      </c>
    </row>
    <row r="2466" spans="1:6" ht="24">
      <c r="A2466" s="190">
        <v>540806</v>
      </c>
      <c r="B2466" s="176" t="s">
        <v>2722</v>
      </c>
      <c r="C2466" s="169">
        <v>218866088</v>
      </c>
      <c r="D2466" s="178" t="s">
        <v>2293</v>
      </c>
      <c r="E2466" s="121">
        <v>196795</v>
      </c>
      <c r="F2466" s="120">
        <v>0</v>
      </c>
    </row>
    <row r="2467" spans="1:6" ht="24">
      <c r="A2467" s="190">
        <v>540806</v>
      </c>
      <c r="B2467" s="176" t="s">
        <v>2722</v>
      </c>
      <c r="C2467" s="170">
        <v>211866318</v>
      </c>
      <c r="D2467" s="178" t="s">
        <v>2294</v>
      </c>
      <c r="E2467" s="121">
        <v>96398</v>
      </c>
      <c r="F2467" s="120">
        <v>0</v>
      </c>
    </row>
    <row r="2468" spans="1:6" ht="24">
      <c r="A2468" s="190">
        <v>540806</v>
      </c>
      <c r="B2468" s="176" t="s">
        <v>2722</v>
      </c>
      <c r="C2468" s="169">
        <v>218366383</v>
      </c>
      <c r="D2468" s="178" t="s">
        <v>2295</v>
      </c>
      <c r="E2468" s="121">
        <v>60160</v>
      </c>
      <c r="F2468" s="120">
        <v>0</v>
      </c>
    </row>
    <row r="2469" spans="1:6" ht="24">
      <c r="A2469" s="190">
        <v>540806</v>
      </c>
      <c r="B2469" s="176" t="s">
        <v>2722</v>
      </c>
      <c r="C2469" s="170">
        <v>210066400</v>
      </c>
      <c r="D2469" s="178" t="s">
        <v>2296</v>
      </c>
      <c r="E2469" s="121">
        <v>235213</v>
      </c>
      <c r="F2469" s="120">
        <v>0</v>
      </c>
    </row>
    <row r="2470" spans="1:6" ht="24">
      <c r="A2470" s="190">
        <v>540806</v>
      </c>
      <c r="B2470" s="176" t="s">
        <v>2722</v>
      </c>
      <c r="C2470" s="170">
        <v>214066440</v>
      </c>
      <c r="D2470" s="178" t="s">
        <v>2297</v>
      </c>
      <c r="E2470" s="121">
        <v>144144</v>
      </c>
      <c r="F2470" s="120">
        <v>0</v>
      </c>
    </row>
    <row r="2471" spans="1:6" ht="24">
      <c r="A2471" s="190">
        <v>540806</v>
      </c>
      <c r="B2471" s="176" t="s">
        <v>2722</v>
      </c>
      <c r="C2471" s="170">
        <v>215666456</v>
      </c>
      <c r="D2471" s="178" t="s">
        <v>2298</v>
      </c>
      <c r="E2471" s="121">
        <v>128493</v>
      </c>
      <c r="F2471" s="120">
        <v>0</v>
      </c>
    </row>
    <row r="2472" spans="1:6" ht="24">
      <c r="A2472" s="190">
        <v>540806</v>
      </c>
      <c r="B2472" s="176" t="s">
        <v>2722</v>
      </c>
      <c r="C2472" s="170">
        <v>217266572</v>
      </c>
      <c r="D2472" s="178" t="s">
        <v>2299</v>
      </c>
      <c r="E2472" s="121">
        <v>127656</v>
      </c>
      <c r="F2472" s="120">
        <v>0</v>
      </c>
    </row>
    <row r="2473" spans="1:6" ht="24">
      <c r="A2473" s="190">
        <v>540806</v>
      </c>
      <c r="B2473" s="176" t="s">
        <v>2722</v>
      </c>
      <c r="C2473" s="169">
        <v>219466594</v>
      </c>
      <c r="D2473" s="178" t="s">
        <v>2300</v>
      </c>
      <c r="E2473" s="121">
        <v>222332</v>
      </c>
      <c r="F2473" s="120">
        <v>0</v>
      </c>
    </row>
    <row r="2474" spans="1:6" ht="24">
      <c r="A2474" s="190">
        <v>540806</v>
      </c>
      <c r="B2474" s="176" t="s">
        <v>2722</v>
      </c>
      <c r="C2474" s="169">
        <v>218266682</v>
      </c>
      <c r="D2474" s="178" t="s">
        <v>2301</v>
      </c>
      <c r="E2474" s="121">
        <v>473104</v>
      </c>
      <c r="F2474" s="120">
        <v>0</v>
      </c>
    </row>
    <row r="2475" spans="1:6" ht="24">
      <c r="A2475" s="190">
        <v>540806</v>
      </c>
      <c r="B2475" s="176" t="s">
        <v>2722</v>
      </c>
      <c r="C2475" s="170">
        <v>218766687</v>
      </c>
      <c r="D2475" s="178" t="s">
        <v>2302</v>
      </c>
      <c r="E2475" s="121">
        <v>104391</v>
      </c>
      <c r="F2475" s="120">
        <v>0</v>
      </c>
    </row>
    <row r="2476" spans="1:6" ht="24">
      <c r="A2476" s="190">
        <v>540806</v>
      </c>
      <c r="B2476" s="176" t="s">
        <v>2722</v>
      </c>
      <c r="C2476" s="170" t="s">
        <v>2303</v>
      </c>
      <c r="D2476" s="178" t="s">
        <v>2304</v>
      </c>
      <c r="E2476" s="121">
        <v>14202</v>
      </c>
      <c r="F2476" s="120">
        <v>0</v>
      </c>
    </row>
    <row r="2477" spans="1:6" ht="24">
      <c r="A2477" s="190">
        <v>540806</v>
      </c>
      <c r="B2477" s="176" t="s">
        <v>2722</v>
      </c>
      <c r="C2477" s="170" t="s">
        <v>2305</v>
      </c>
      <c r="D2477" s="178" t="s">
        <v>1646</v>
      </c>
      <c r="E2477" s="121">
        <v>33970</v>
      </c>
      <c r="F2477" s="120">
        <v>0</v>
      </c>
    </row>
    <row r="2478" spans="1:6" ht="24">
      <c r="A2478" s="190">
        <v>540806</v>
      </c>
      <c r="B2478" s="176" t="s">
        <v>2722</v>
      </c>
      <c r="C2478" s="170" t="s">
        <v>2306</v>
      </c>
      <c r="D2478" s="178" t="s">
        <v>2307</v>
      </c>
      <c r="E2478" s="121">
        <v>59549</v>
      </c>
      <c r="F2478" s="120">
        <v>0</v>
      </c>
    </row>
    <row r="2479" spans="1:6" ht="24">
      <c r="A2479" s="190">
        <v>540806</v>
      </c>
      <c r="B2479" s="176" t="s">
        <v>2722</v>
      </c>
      <c r="C2479" s="170" t="s">
        <v>2308</v>
      </c>
      <c r="D2479" s="178" t="s">
        <v>1117</v>
      </c>
      <c r="E2479" s="121">
        <v>151347</v>
      </c>
      <c r="F2479" s="120">
        <v>0</v>
      </c>
    </row>
    <row r="2480" spans="1:6" ht="24">
      <c r="A2480" s="190">
        <v>540806</v>
      </c>
      <c r="B2480" s="176" t="s">
        <v>2722</v>
      </c>
      <c r="C2480" s="170" t="s">
        <v>2309</v>
      </c>
      <c r="D2480" s="178" t="s">
        <v>2310</v>
      </c>
      <c r="E2480" s="121">
        <v>45589</v>
      </c>
      <c r="F2480" s="120">
        <v>0</v>
      </c>
    </row>
    <row r="2481" spans="1:6" ht="24">
      <c r="A2481" s="190">
        <v>540806</v>
      </c>
      <c r="B2481" s="176" t="s">
        <v>2722</v>
      </c>
      <c r="C2481" s="170" t="s">
        <v>2311</v>
      </c>
      <c r="D2481" s="178" t="s">
        <v>1123</v>
      </c>
      <c r="E2481" s="121">
        <v>36999</v>
      </c>
      <c r="F2481" s="120">
        <v>0</v>
      </c>
    </row>
    <row r="2482" spans="1:6" ht="24">
      <c r="A2482" s="190">
        <v>540806</v>
      </c>
      <c r="B2482" s="176" t="s">
        <v>2722</v>
      </c>
      <c r="C2482" s="170">
        <v>210168101</v>
      </c>
      <c r="D2482" s="178" t="s">
        <v>994</v>
      </c>
      <c r="E2482" s="121">
        <v>81999</v>
      </c>
      <c r="F2482" s="120">
        <v>0</v>
      </c>
    </row>
    <row r="2483" spans="1:6" ht="24">
      <c r="A2483" s="190">
        <v>540806</v>
      </c>
      <c r="B2483" s="176" t="s">
        <v>2722</v>
      </c>
      <c r="C2483" s="170" t="s">
        <v>2312</v>
      </c>
      <c r="D2483" s="178" t="s">
        <v>1812</v>
      </c>
      <c r="E2483" s="121">
        <v>10817</v>
      </c>
      <c r="F2483" s="120">
        <v>0</v>
      </c>
    </row>
    <row r="2484" spans="1:6" ht="24">
      <c r="A2484" s="190">
        <v>540806</v>
      </c>
      <c r="B2484" s="176" t="s">
        <v>2722</v>
      </c>
      <c r="C2484" s="170" t="s">
        <v>2313</v>
      </c>
      <c r="D2484" s="178" t="s">
        <v>2314</v>
      </c>
      <c r="E2484" s="121">
        <v>9597</v>
      </c>
      <c r="F2484" s="120">
        <v>0</v>
      </c>
    </row>
    <row r="2485" spans="1:6" ht="24">
      <c r="A2485" s="190">
        <v>540806</v>
      </c>
      <c r="B2485" s="176" t="s">
        <v>2722</v>
      </c>
      <c r="C2485" s="170" t="s">
        <v>2315</v>
      </c>
      <c r="D2485" s="178" t="s">
        <v>2316</v>
      </c>
      <c r="E2485" s="121">
        <v>44095</v>
      </c>
      <c r="F2485" s="120">
        <v>0</v>
      </c>
    </row>
    <row r="2486" spans="1:6" ht="24">
      <c r="A2486" s="190">
        <v>540806</v>
      </c>
      <c r="B2486" s="176" t="s">
        <v>2722</v>
      </c>
      <c r="C2486" s="170">
        <v>215268152</v>
      </c>
      <c r="D2486" s="178" t="s">
        <v>2317</v>
      </c>
      <c r="E2486" s="121">
        <v>28254</v>
      </c>
      <c r="F2486" s="120">
        <v>0</v>
      </c>
    </row>
    <row r="2487" spans="1:6" ht="24">
      <c r="A2487" s="190">
        <v>540806</v>
      </c>
      <c r="B2487" s="176" t="s">
        <v>2722</v>
      </c>
      <c r="C2487" s="170">
        <v>216068160</v>
      </c>
      <c r="D2487" s="178" t="s">
        <v>2318</v>
      </c>
      <c r="E2487" s="121">
        <v>13560</v>
      </c>
      <c r="F2487" s="120">
        <v>0</v>
      </c>
    </row>
    <row r="2488" spans="1:6" ht="24">
      <c r="A2488" s="190">
        <v>540806</v>
      </c>
      <c r="B2488" s="176" t="s">
        <v>2722</v>
      </c>
      <c r="C2488" s="170">
        <v>216268162</v>
      </c>
      <c r="D2488" s="178" t="s">
        <v>2319</v>
      </c>
      <c r="E2488" s="121">
        <v>42559</v>
      </c>
      <c r="F2488" s="120">
        <v>0</v>
      </c>
    </row>
    <row r="2489" spans="1:6" ht="24">
      <c r="A2489" s="190">
        <v>540806</v>
      </c>
      <c r="B2489" s="176" t="s">
        <v>2722</v>
      </c>
      <c r="C2489" s="170" t="s">
        <v>2320</v>
      </c>
      <c r="D2489" s="178" t="s">
        <v>2321</v>
      </c>
      <c r="E2489" s="121">
        <v>99154</v>
      </c>
      <c r="F2489" s="120">
        <v>0</v>
      </c>
    </row>
    <row r="2490" spans="1:6" ht="24">
      <c r="A2490" s="190">
        <v>540806</v>
      </c>
      <c r="B2490" s="176" t="s">
        <v>2722</v>
      </c>
      <c r="C2490" s="170" t="s">
        <v>2322</v>
      </c>
      <c r="D2490" s="178" t="s">
        <v>2323</v>
      </c>
      <c r="E2490" s="121">
        <v>14358</v>
      </c>
      <c r="F2490" s="120">
        <v>0</v>
      </c>
    </row>
    <row r="2491" spans="1:6" ht="24">
      <c r="A2491" s="190">
        <v>540806</v>
      </c>
      <c r="B2491" s="176" t="s">
        <v>2722</v>
      </c>
      <c r="C2491" s="170" t="s">
        <v>2324</v>
      </c>
      <c r="D2491" s="178" t="s">
        <v>1760</v>
      </c>
      <c r="E2491" s="121">
        <v>20962</v>
      </c>
      <c r="F2491" s="120">
        <v>0</v>
      </c>
    </row>
    <row r="2492" spans="1:6" ht="24">
      <c r="A2492" s="190">
        <v>540806</v>
      </c>
      <c r="B2492" s="176" t="s">
        <v>2722</v>
      </c>
      <c r="C2492" s="170" t="s">
        <v>2325</v>
      </c>
      <c r="D2492" s="178" t="s">
        <v>2326</v>
      </c>
      <c r="E2492" s="121">
        <v>28756</v>
      </c>
      <c r="F2492" s="120">
        <v>0</v>
      </c>
    </row>
    <row r="2493" spans="1:6" ht="24">
      <c r="A2493" s="190">
        <v>540806</v>
      </c>
      <c r="B2493" s="176" t="s">
        <v>2722</v>
      </c>
      <c r="C2493" s="170" t="s">
        <v>2327</v>
      </c>
      <c r="D2493" s="178" t="s">
        <v>2328</v>
      </c>
      <c r="E2493" s="121">
        <v>230442</v>
      </c>
      <c r="F2493" s="120">
        <v>0</v>
      </c>
    </row>
    <row r="2494" spans="1:6" ht="24">
      <c r="A2494" s="190">
        <v>540806</v>
      </c>
      <c r="B2494" s="176" t="s">
        <v>2722</v>
      </c>
      <c r="C2494" s="170" t="s">
        <v>2329</v>
      </c>
      <c r="D2494" s="178" t="s">
        <v>1155</v>
      </c>
      <c r="E2494" s="121">
        <v>34386</v>
      </c>
      <c r="F2494" s="120">
        <v>0</v>
      </c>
    </row>
    <row r="2495" spans="1:6" ht="24">
      <c r="A2495" s="190">
        <v>540806</v>
      </c>
      <c r="B2495" s="176" t="s">
        <v>2722</v>
      </c>
      <c r="C2495" s="170" t="s">
        <v>2330</v>
      </c>
      <c r="D2495" s="178" t="s">
        <v>2331</v>
      </c>
      <c r="E2495" s="121">
        <v>14255</v>
      </c>
      <c r="F2495" s="120">
        <v>0</v>
      </c>
    </row>
    <row r="2496" spans="1:6" ht="24">
      <c r="A2496" s="190">
        <v>540806</v>
      </c>
      <c r="B2496" s="176" t="s">
        <v>2722</v>
      </c>
      <c r="C2496" s="170" t="s">
        <v>2332</v>
      </c>
      <c r="D2496" s="178" t="s">
        <v>2333</v>
      </c>
      <c r="E2496" s="121">
        <v>30730</v>
      </c>
      <c r="F2496" s="120">
        <v>0</v>
      </c>
    </row>
    <row r="2497" spans="1:6" ht="24">
      <c r="A2497" s="190">
        <v>540806</v>
      </c>
      <c r="B2497" s="176" t="s">
        <v>2722</v>
      </c>
      <c r="C2497" s="170" t="s">
        <v>2334</v>
      </c>
      <c r="D2497" s="178" t="s">
        <v>2335</v>
      </c>
      <c r="E2497" s="121">
        <v>39604</v>
      </c>
      <c r="F2497" s="120">
        <v>0</v>
      </c>
    </row>
    <row r="2498" spans="1:6" ht="24">
      <c r="A2498" s="190">
        <v>540806</v>
      </c>
      <c r="B2498" s="176" t="s">
        <v>2722</v>
      </c>
      <c r="C2498" s="170">
        <v>212968229</v>
      </c>
      <c r="D2498" s="178" t="s">
        <v>2336</v>
      </c>
      <c r="E2498" s="121">
        <v>69033</v>
      </c>
      <c r="F2498" s="120">
        <v>0</v>
      </c>
    </row>
    <row r="2499" spans="1:6" ht="24">
      <c r="A2499" s="190">
        <v>540806</v>
      </c>
      <c r="B2499" s="176" t="s">
        <v>2722</v>
      </c>
      <c r="C2499" s="170" t="s">
        <v>2337</v>
      </c>
      <c r="D2499" s="178" t="s">
        <v>2031</v>
      </c>
      <c r="E2499" s="121">
        <v>124577</v>
      </c>
      <c r="F2499" s="120">
        <v>0</v>
      </c>
    </row>
    <row r="2500" spans="1:6" ht="24">
      <c r="A2500" s="190">
        <v>540806</v>
      </c>
      <c r="B2500" s="176" t="s">
        <v>2722</v>
      </c>
      <c r="C2500" s="170" t="s">
        <v>2338</v>
      </c>
      <c r="D2500" s="178" t="s">
        <v>2339</v>
      </c>
      <c r="E2500" s="121">
        <v>16020</v>
      </c>
      <c r="F2500" s="120">
        <v>0</v>
      </c>
    </row>
    <row r="2501" spans="1:6" ht="24">
      <c r="A2501" s="190">
        <v>540806</v>
      </c>
      <c r="B2501" s="176" t="s">
        <v>2722</v>
      </c>
      <c r="C2501" s="170" t="s">
        <v>2340</v>
      </c>
      <c r="D2501" s="178" t="s">
        <v>2341</v>
      </c>
      <c r="E2501" s="121">
        <v>40993</v>
      </c>
      <c r="F2501" s="120">
        <v>0</v>
      </c>
    </row>
    <row r="2502" spans="1:6" ht="24">
      <c r="A2502" s="190">
        <v>540806</v>
      </c>
      <c r="B2502" s="176" t="s">
        <v>2722</v>
      </c>
      <c r="C2502" s="170" t="s">
        <v>2342</v>
      </c>
      <c r="D2502" s="178" t="s">
        <v>2343</v>
      </c>
      <c r="E2502" s="121">
        <v>93265</v>
      </c>
      <c r="F2502" s="120">
        <v>0</v>
      </c>
    </row>
    <row r="2503" spans="1:6" ht="24">
      <c r="A2503" s="190">
        <v>540806</v>
      </c>
      <c r="B2503" s="176" t="s">
        <v>2722</v>
      </c>
      <c r="C2503" s="170" t="s">
        <v>2344</v>
      </c>
      <c r="D2503" s="178" t="s">
        <v>2345</v>
      </c>
      <c r="E2503" s="121">
        <v>19686</v>
      </c>
      <c r="F2503" s="120">
        <v>0</v>
      </c>
    </row>
    <row r="2504" spans="1:6" ht="24">
      <c r="A2504" s="190">
        <v>540806</v>
      </c>
      <c r="B2504" s="176" t="s">
        <v>2722</v>
      </c>
      <c r="C2504" s="170" t="s">
        <v>2346</v>
      </c>
      <c r="D2504" s="178" t="s">
        <v>2347</v>
      </c>
      <c r="E2504" s="121">
        <v>27466</v>
      </c>
      <c r="F2504" s="120">
        <v>0</v>
      </c>
    </row>
    <row r="2505" spans="1:6" ht="24">
      <c r="A2505" s="190">
        <v>540806</v>
      </c>
      <c r="B2505" s="176" t="s">
        <v>2722</v>
      </c>
      <c r="C2505" s="170" t="s">
        <v>2348</v>
      </c>
      <c r="D2505" s="178" t="s">
        <v>2349</v>
      </c>
      <c r="E2505" s="121">
        <v>53303</v>
      </c>
      <c r="F2505" s="120">
        <v>0</v>
      </c>
    </row>
    <row r="2506" spans="1:6" ht="24">
      <c r="A2506" s="190">
        <v>540806</v>
      </c>
      <c r="B2506" s="176" t="s">
        <v>2722</v>
      </c>
      <c r="C2506" s="170" t="s">
        <v>2350</v>
      </c>
      <c r="D2506" s="178" t="s">
        <v>2351</v>
      </c>
      <c r="E2506" s="121">
        <v>19245</v>
      </c>
      <c r="F2506" s="120">
        <v>0</v>
      </c>
    </row>
    <row r="2507" spans="1:6" ht="24">
      <c r="A2507" s="190">
        <v>540806</v>
      </c>
      <c r="B2507" s="176" t="s">
        <v>2722</v>
      </c>
      <c r="C2507" s="170" t="s">
        <v>2352</v>
      </c>
      <c r="D2507" s="178" t="s">
        <v>2353</v>
      </c>
      <c r="E2507" s="121">
        <v>30458</v>
      </c>
      <c r="F2507" s="120">
        <v>0</v>
      </c>
    </row>
    <row r="2508" spans="1:6" ht="24">
      <c r="A2508" s="190">
        <v>540806</v>
      </c>
      <c r="B2508" s="176" t="s">
        <v>2722</v>
      </c>
      <c r="C2508" s="170" t="s">
        <v>2354</v>
      </c>
      <c r="D2508" s="178" t="s">
        <v>2355</v>
      </c>
      <c r="E2508" s="121">
        <v>41304</v>
      </c>
      <c r="F2508" s="120">
        <v>0</v>
      </c>
    </row>
    <row r="2509" spans="1:6" ht="24">
      <c r="A2509" s="190">
        <v>540806</v>
      </c>
      <c r="B2509" s="176" t="s">
        <v>2722</v>
      </c>
      <c r="C2509" s="170" t="s">
        <v>2356</v>
      </c>
      <c r="D2509" s="178" t="s">
        <v>1181</v>
      </c>
      <c r="E2509" s="121">
        <v>43235</v>
      </c>
      <c r="F2509" s="120">
        <v>0</v>
      </c>
    </row>
    <row r="2510" spans="1:6" ht="24">
      <c r="A2510" s="190">
        <v>540806</v>
      </c>
      <c r="B2510" s="176" t="s">
        <v>2722</v>
      </c>
      <c r="C2510" s="170">
        <v>212268322</v>
      </c>
      <c r="D2510" s="178" t="s">
        <v>2357</v>
      </c>
      <c r="E2510" s="121">
        <v>17469</v>
      </c>
      <c r="F2510" s="120">
        <v>0</v>
      </c>
    </row>
    <row r="2511" spans="1:6" ht="24">
      <c r="A2511" s="190">
        <v>540806</v>
      </c>
      <c r="B2511" s="176" t="s">
        <v>2722</v>
      </c>
      <c r="C2511" s="170" t="s">
        <v>2358</v>
      </c>
      <c r="D2511" s="178" t="s">
        <v>2359</v>
      </c>
      <c r="E2511" s="121">
        <v>26673</v>
      </c>
      <c r="F2511" s="120">
        <v>0</v>
      </c>
    </row>
    <row r="2512" spans="1:6" ht="24">
      <c r="A2512" s="190">
        <v>540806</v>
      </c>
      <c r="B2512" s="176" t="s">
        <v>2722</v>
      </c>
      <c r="C2512" s="170">
        <v>212768327</v>
      </c>
      <c r="D2512" s="178" t="s">
        <v>2360</v>
      </c>
      <c r="E2512" s="121">
        <v>32064</v>
      </c>
      <c r="F2512" s="120">
        <v>0</v>
      </c>
    </row>
    <row r="2513" spans="1:6" ht="24">
      <c r="A2513" s="190">
        <v>540806</v>
      </c>
      <c r="B2513" s="176" t="s">
        <v>2722</v>
      </c>
      <c r="C2513" s="169" t="s">
        <v>2361</v>
      </c>
      <c r="D2513" s="178" t="s">
        <v>2362</v>
      </c>
      <c r="E2513" s="121">
        <v>9825</v>
      </c>
      <c r="F2513" s="120">
        <v>0</v>
      </c>
    </row>
    <row r="2514" spans="1:6" ht="24">
      <c r="A2514" s="190">
        <v>540806</v>
      </c>
      <c r="B2514" s="176" t="s">
        <v>2722</v>
      </c>
      <c r="C2514" s="169" t="s">
        <v>2363</v>
      </c>
      <c r="D2514" s="178" t="s">
        <v>2364</v>
      </c>
      <c r="E2514" s="121">
        <v>29823</v>
      </c>
      <c r="F2514" s="120">
        <v>0</v>
      </c>
    </row>
    <row r="2515" spans="1:6" ht="24">
      <c r="A2515" s="190">
        <v>540806</v>
      </c>
      <c r="B2515" s="176" t="s">
        <v>2722</v>
      </c>
      <c r="C2515" s="169" t="s">
        <v>2365</v>
      </c>
      <c r="D2515" s="178" t="s">
        <v>2366</v>
      </c>
      <c r="E2515" s="121">
        <v>9391</v>
      </c>
      <c r="F2515" s="120">
        <v>0</v>
      </c>
    </row>
    <row r="2516" spans="1:6" ht="24">
      <c r="A2516" s="190">
        <v>540806</v>
      </c>
      <c r="B2516" s="176" t="s">
        <v>2722</v>
      </c>
      <c r="C2516" s="169" t="s">
        <v>2367</v>
      </c>
      <c r="D2516" s="178" t="s">
        <v>2368</v>
      </c>
      <c r="E2516" s="121">
        <v>51442</v>
      </c>
      <c r="F2516" s="120">
        <v>0</v>
      </c>
    </row>
    <row r="2517" spans="1:6" ht="24">
      <c r="A2517" s="190">
        <v>540806</v>
      </c>
      <c r="B2517" s="176" t="s">
        <v>2722</v>
      </c>
      <c r="C2517" s="164">
        <v>218568385</v>
      </c>
      <c r="D2517" s="178" t="s">
        <v>2369</v>
      </c>
      <c r="E2517" s="121">
        <v>90559</v>
      </c>
      <c r="F2517" s="120">
        <v>0</v>
      </c>
    </row>
    <row r="2518" spans="1:6" ht="24">
      <c r="A2518" s="190">
        <v>540806</v>
      </c>
      <c r="B2518" s="176" t="s">
        <v>2722</v>
      </c>
      <c r="C2518" s="169">
        <v>219768397</v>
      </c>
      <c r="D2518" s="178" t="s">
        <v>1744</v>
      </c>
      <c r="E2518" s="121">
        <v>31610</v>
      </c>
      <c r="F2518" s="120">
        <v>0</v>
      </c>
    </row>
    <row r="2519" spans="1:6" ht="24">
      <c r="A2519" s="190">
        <v>540806</v>
      </c>
      <c r="B2519" s="176" t="s">
        <v>2722</v>
      </c>
      <c r="C2519" s="169" t="s">
        <v>2370</v>
      </c>
      <c r="D2519" s="178" t="s">
        <v>2371</v>
      </c>
      <c r="E2519" s="121">
        <v>199189</v>
      </c>
      <c r="F2519" s="120">
        <v>0</v>
      </c>
    </row>
    <row r="2520" spans="1:6" ht="24">
      <c r="A2520" s="190">
        <v>540806</v>
      </c>
      <c r="B2520" s="176" t="s">
        <v>2722</v>
      </c>
      <c r="C2520" s="169" t="s">
        <v>2372</v>
      </c>
      <c r="D2520" s="178" t="s">
        <v>2373</v>
      </c>
      <c r="E2520" s="121">
        <v>68249</v>
      </c>
      <c r="F2520" s="120">
        <v>0</v>
      </c>
    </row>
    <row r="2521" spans="1:6" ht="24">
      <c r="A2521" s="190">
        <v>540806</v>
      </c>
      <c r="B2521" s="176" t="s">
        <v>2722</v>
      </c>
      <c r="C2521" s="169" t="s">
        <v>2374</v>
      </c>
      <c r="D2521" s="178" t="s">
        <v>2375</v>
      </c>
      <c r="E2521" s="121">
        <v>19062</v>
      </c>
      <c r="F2521" s="120">
        <v>0</v>
      </c>
    </row>
    <row r="2522" spans="1:6" ht="24">
      <c r="A2522" s="190">
        <v>540806</v>
      </c>
      <c r="B2522" s="176" t="s">
        <v>2722</v>
      </c>
      <c r="C2522" s="169" t="s">
        <v>2376</v>
      </c>
      <c r="D2522" s="178" t="s">
        <v>2377</v>
      </c>
      <c r="E2522" s="121">
        <v>163727</v>
      </c>
      <c r="F2522" s="120">
        <v>0</v>
      </c>
    </row>
    <row r="2523" spans="1:6" ht="24">
      <c r="A2523" s="190">
        <v>540806</v>
      </c>
      <c r="B2523" s="176" t="s">
        <v>2722</v>
      </c>
      <c r="C2523" s="169" t="s">
        <v>2378</v>
      </c>
      <c r="D2523" s="178" t="s">
        <v>2379</v>
      </c>
      <c r="E2523" s="121">
        <v>41573</v>
      </c>
      <c r="F2523" s="120">
        <v>0</v>
      </c>
    </row>
    <row r="2524" spans="1:6" ht="24">
      <c r="A2524" s="190">
        <v>540806</v>
      </c>
      <c r="B2524" s="176" t="s">
        <v>2722</v>
      </c>
      <c r="C2524" s="169" t="s">
        <v>2380</v>
      </c>
      <c r="D2524" s="178" t="s">
        <v>2381</v>
      </c>
      <c r="E2524" s="121">
        <v>79026</v>
      </c>
      <c r="F2524" s="120">
        <v>0</v>
      </c>
    </row>
    <row r="2525" spans="1:6" ht="24">
      <c r="A2525" s="190">
        <v>540806</v>
      </c>
      <c r="B2525" s="176" t="s">
        <v>2722</v>
      </c>
      <c r="C2525" s="169" t="s">
        <v>2382</v>
      </c>
      <c r="D2525" s="178" t="s">
        <v>2383</v>
      </c>
      <c r="E2525" s="121">
        <v>27971</v>
      </c>
      <c r="F2525" s="120">
        <v>0</v>
      </c>
    </row>
    <row r="2526" spans="1:6" ht="24">
      <c r="A2526" s="190">
        <v>540806</v>
      </c>
      <c r="B2526" s="176" t="s">
        <v>2722</v>
      </c>
      <c r="C2526" s="169" t="s">
        <v>2384</v>
      </c>
      <c r="D2526" s="178" t="s">
        <v>2385</v>
      </c>
      <c r="E2526" s="121">
        <v>30883</v>
      </c>
      <c r="F2526" s="120">
        <v>0</v>
      </c>
    </row>
    <row r="2527" spans="1:6" ht="24">
      <c r="A2527" s="190">
        <v>540806</v>
      </c>
      <c r="B2527" s="176" t="s">
        <v>2722</v>
      </c>
      <c r="C2527" s="169" t="s">
        <v>2386</v>
      </c>
      <c r="D2527" s="178" t="s">
        <v>2387</v>
      </c>
      <c r="E2527" s="121">
        <v>85441</v>
      </c>
      <c r="F2527" s="120">
        <v>0</v>
      </c>
    </row>
    <row r="2528" spans="1:6" ht="24">
      <c r="A2528" s="190">
        <v>540806</v>
      </c>
      <c r="B2528" s="176" t="s">
        <v>2722</v>
      </c>
      <c r="C2528" s="169" t="s">
        <v>2388</v>
      </c>
      <c r="D2528" s="178" t="s">
        <v>2389</v>
      </c>
      <c r="E2528" s="121">
        <v>34529</v>
      </c>
      <c r="F2528" s="120">
        <v>0</v>
      </c>
    </row>
    <row r="2529" spans="1:6" ht="24">
      <c r="A2529" s="190">
        <v>540806</v>
      </c>
      <c r="B2529" s="176" t="s">
        <v>2722</v>
      </c>
      <c r="C2529" s="169" t="s">
        <v>2390</v>
      </c>
      <c r="D2529" s="178" t="s">
        <v>2391</v>
      </c>
      <c r="E2529" s="121">
        <v>12349</v>
      </c>
      <c r="F2529" s="120">
        <v>0</v>
      </c>
    </row>
    <row r="2530" spans="1:6" ht="24">
      <c r="A2530" s="190">
        <v>540806</v>
      </c>
      <c r="B2530" s="176" t="s">
        <v>2722</v>
      </c>
      <c r="C2530" s="169" t="s">
        <v>2392</v>
      </c>
      <c r="D2530" s="178" t="s">
        <v>2393</v>
      </c>
      <c r="E2530" s="121">
        <v>16045</v>
      </c>
      <c r="F2530" s="120">
        <v>0</v>
      </c>
    </row>
    <row r="2531" spans="1:6" ht="24">
      <c r="A2531" s="190">
        <v>540806</v>
      </c>
      <c r="B2531" s="176" t="s">
        <v>2722</v>
      </c>
      <c r="C2531" s="169" t="s">
        <v>2394</v>
      </c>
      <c r="D2531" s="178" t="s">
        <v>2395</v>
      </c>
      <c r="E2531" s="121">
        <v>22421</v>
      </c>
      <c r="F2531" s="120">
        <v>0</v>
      </c>
    </row>
    <row r="2532" spans="1:6" ht="24">
      <c r="A2532" s="190">
        <v>540806</v>
      </c>
      <c r="B2532" s="176" t="s">
        <v>2722</v>
      </c>
      <c r="C2532" s="169" t="s">
        <v>2396</v>
      </c>
      <c r="D2532" s="178" t="s">
        <v>2397</v>
      </c>
      <c r="E2532" s="121">
        <v>726348</v>
      </c>
      <c r="F2532" s="120">
        <v>0</v>
      </c>
    </row>
    <row r="2533" spans="1:6" ht="24">
      <c r="A2533" s="190">
        <v>540806</v>
      </c>
      <c r="B2533" s="176" t="s">
        <v>2722</v>
      </c>
      <c r="C2533" s="169" t="s">
        <v>2398</v>
      </c>
      <c r="D2533" s="178" t="s">
        <v>2399</v>
      </c>
      <c r="E2533" s="121">
        <v>27127</v>
      </c>
      <c r="F2533" s="120">
        <v>0</v>
      </c>
    </row>
    <row r="2534" spans="1:6" ht="24">
      <c r="A2534" s="190">
        <v>540806</v>
      </c>
      <c r="B2534" s="176" t="s">
        <v>2722</v>
      </c>
      <c r="C2534" s="169" t="s">
        <v>2400</v>
      </c>
      <c r="D2534" s="178" t="s">
        <v>2401</v>
      </c>
      <c r="E2534" s="121">
        <v>132337</v>
      </c>
      <c r="F2534" s="120">
        <v>0</v>
      </c>
    </row>
    <row r="2535" spans="1:6" ht="24">
      <c r="A2535" s="190">
        <v>540806</v>
      </c>
      <c r="B2535" s="176" t="s">
        <v>2722</v>
      </c>
      <c r="C2535" s="169" t="s">
        <v>2402</v>
      </c>
      <c r="D2535" s="178" t="s">
        <v>2403</v>
      </c>
      <c r="E2535" s="121">
        <v>52671</v>
      </c>
      <c r="F2535" s="120">
        <v>0</v>
      </c>
    </row>
    <row r="2536" spans="1:6" ht="24">
      <c r="A2536" s="190">
        <v>540806</v>
      </c>
      <c r="B2536" s="176" t="s">
        <v>2722</v>
      </c>
      <c r="C2536" s="169" t="s">
        <v>2404</v>
      </c>
      <c r="D2536" s="178" t="s">
        <v>2405</v>
      </c>
      <c r="E2536" s="121">
        <v>298408</v>
      </c>
      <c r="F2536" s="120">
        <v>0</v>
      </c>
    </row>
    <row r="2537" spans="1:6" ht="24">
      <c r="A2537" s="190">
        <v>540806</v>
      </c>
      <c r="B2537" s="176" t="s">
        <v>2722</v>
      </c>
      <c r="C2537" s="169" t="s">
        <v>2406</v>
      </c>
      <c r="D2537" s="178" t="s">
        <v>1239</v>
      </c>
      <c r="E2537" s="121">
        <v>216856</v>
      </c>
      <c r="F2537" s="120">
        <v>0</v>
      </c>
    </row>
    <row r="2538" spans="1:6" ht="24">
      <c r="A2538" s="190">
        <v>540806</v>
      </c>
      <c r="B2538" s="176" t="s">
        <v>2722</v>
      </c>
      <c r="C2538" s="169" t="s">
        <v>2407</v>
      </c>
      <c r="D2538" s="178" t="s">
        <v>2408</v>
      </c>
      <c r="E2538" s="121">
        <v>161019</v>
      </c>
      <c r="F2538" s="120">
        <v>0</v>
      </c>
    </row>
    <row r="2539" spans="1:6" ht="24">
      <c r="A2539" s="190">
        <v>540806</v>
      </c>
      <c r="B2539" s="176" t="s">
        <v>2722</v>
      </c>
      <c r="C2539" s="169" t="s">
        <v>2409</v>
      </c>
      <c r="D2539" s="178" t="s">
        <v>1017</v>
      </c>
      <c r="E2539" s="121">
        <v>74757</v>
      </c>
      <c r="F2539" s="120">
        <v>0</v>
      </c>
    </row>
    <row r="2540" spans="1:6" ht="24">
      <c r="A2540" s="190">
        <v>540806</v>
      </c>
      <c r="B2540" s="176" t="s">
        <v>2722</v>
      </c>
      <c r="C2540" s="169" t="s">
        <v>2410</v>
      </c>
      <c r="D2540" s="178" t="s">
        <v>2411</v>
      </c>
      <c r="E2540" s="121">
        <v>20952</v>
      </c>
      <c r="F2540" s="120">
        <v>0</v>
      </c>
    </row>
    <row r="2541" spans="1:6" ht="24">
      <c r="A2541" s="190">
        <v>540806</v>
      </c>
      <c r="B2541" s="176" t="s">
        <v>2722</v>
      </c>
      <c r="C2541" s="169" t="s">
        <v>2412</v>
      </c>
      <c r="D2541" s="178" t="s">
        <v>2413</v>
      </c>
      <c r="E2541" s="121">
        <v>292299</v>
      </c>
      <c r="F2541" s="120">
        <v>0</v>
      </c>
    </row>
    <row r="2542" spans="1:6" ht="24">
      <c r="A2542" s="190">
        <v>540806</v>
      </c>
      <c r="B2542" s="176" t="s">
        <v>2722</v>
      </c>
      <c r="C2542" s="169" t="s">
        <v>2414</v>
      </c>
      <c r="D2542" s="178" t="s">
        <v>2415</v>
      </c>
      <c r="E2542" s="121">
        <v>17332</v>
      </c>
      <c r="F2542" s="120">
        <v>0</v>
      </c>
    </row>
    <row r="2543" spans="1:6" ht="24">
      <c r="A2543" s="190">
        <v>540806</v>
      </c>
      <c r="B2543" s="176" t="s">
        <v>2722</v>
      </c>
      <c r="C2543" s="169" t="s">
        <v>2416</v>
      </c>
      <c r="D2543" s="178" t="s">
        <v>2417</v>
      </c>
      <c r="E2543" s="121">
        <v>31042</v>
      </c>
      <c r="F2543" s="120">
        <v>0</v>
      </c>
    </row>
    <row r="2544" spans="1:6" ht="24">
      <c r="A2544" s="190">
        <v>540806</v>
      </c>
      <c r="B2544" s="178" t="s">
        <v>2722</v>
      </c>
      <c r="C2544" s="169" t="s">
        <v>2418</v>
      </c>
      <c r="D2544" s="178" t="s">
        <v>2419</v>
      </c>
      <c r="E2544" s="121">
        <v>22646</v>
      </c>
      <c r="F2544" s="120">
        <v>0</v>
      </c>
    </row>
    <row r="2545" spans="1:6" ht="24">
      <c r="A2545" s="190">
        <v>540806</v>
      </c>
      <c r="B2545" s="176" t="s">
        <v>2722</v>
      </c>
      <c r="C2545" s="169">
        <v>218968689</v>
      </c>
      <c r="D2545" s="178" t="s">
        <v>2420</v>
      </c>
      <c r="E2545" s="121">
        <v>241670</v>
      </c>
      <c r="F2545" s="120">
        <v>0</v>
      </c>
    </row>
    <row r="2546" spans="1:6" ht="24">
      <c r="A2546" s="190">
        <v>540806</v>
      </c>
      <c r="B2546" s="176" t="s">
        <v>2722</v>
      </c>
      <c r="C2546" s="169" t="s">
        <v>2421</v>
      </c>
      <c r="D2546" s="178" t="s">
        <v>1269</v>
      </c>
      <c r="E2546" s="121">
        <v>16275</v>
      </c>
      <c r="F2546" s="120">
        <v>0</v>
      </c>
    </row>
    <row r="2547" spans="1:6" ht="24">
      <c r="A2547" s="190">
        <v>540806</v>
      </c>
      <c r="B2547" s="176" t="s">
        <v>2722</v>
      </c>
      <c r="C2547" s="169" t="s">
        <v>2422</v>
      </c>
      <c r="D2547" s="178" t="s">
        <v>2423</v>
      </c>
      <c r="E2547" s="121">
        <v>32287</v>
      </c>
      <c r="F2547" s="120">
        <v>0</v>
      </c>
    </row>
    <row r="2548" spans="1:6" ht="24">
      <c r="A2548" s="190">
        <v>540806</v>
      </c>
      <c r="B2548" s="176" t="s">
        <v>2722</v>
      </c>
      <c r="C2548" s="169" t="s">
        <v>2424</v>
      </c>
      <c r="D2548" s="178" t="s">
        <v>2425</v>
      </c>
      <c r="E2548" s="121">
        <v>71529</v>
      </c>
      <c r="F2548" s="120">
        <v>0</v>
      </c>
    </row>
    <row r="2549" spans="1:6" ht="24">
      <c r="A2549" s="190">
        <v>540806</v>
      </c>
      <c r="B2549" s="176" t="s">
        <v>2722</v>
      </c>
      <c r="C2549" s="169" t="s">
        <v>2426</v>
      </c>
      <c r="D2549" s="178" t="s">
        <v>2427</v>
      </c>
      <c r="E2549" s="121">
        <v>192696</v>
      </c>
      <c r="F2549" s="120">
        <v>0</v>
      </c>
    </row>
    <row r="2550" spans="1:6" ht="24">
      <c r="A2550" s="190">
        <v>540806</v>
      </c>
      <c r="B2550" s="176" t="s">
        <v>2722</v>
      </c>
      <c r="C2550" s="169" t="s">
        <v>2428</v>
      </c>
      <c r="D2550" s="178" t="s">
        <v>2429</v>
      </c>
      <c r="E2550" s="121">
        <v>72635</v>
      </c>
      <c r="F2550" s="120">
        <v>0</v>
      </c>
    </row>
    <row r="2551" spans="1:6" ht="24">
      <c r="A2551" s="190">
        <v>540806</v>
      </c>
      <c r="B2551" s="176" t="s">
        <v>2722</v>
      </c>
      <c r="C2551" s="169" t="s">
        <v>2430</v>
      </c>
      <c r="D2551" s="178" t="s">
        <v>1011</v>
      </c>
      <c r="E2551" s="121">
        <v>59769</v>
      </c>
      <c r="F2551" s="120">
        <v>0</v>
      </c>
    </row>
    <row r="2552" spans="1:6" ht="24">
      <c r="A2552" s="190">
        <v>540806</v>
      </c>
      <c r="B2552" s="176" t="s">
        <v>2722</v>
      </c>
      <c r="C2552" s="169" t="s">
        <v>2431</v>
      </c>
      <c r="D2552" s="178" t="s">
        <v>2432</v>
      </c>
      <c r="E2552" s="121">
        <v>25979</v>
      </c>
      <c r="F2552" s="120">
        <v>0</v>
      </c>
    </row>
    <row r="2553" spans="1:6" ht="24">
      <c r="A2553" s="190">
        <v>540806</v>
      </c>
      <c r="B2553" s="176" t="s">
        <v>2722</v>
      </c>
      <c r="C2553" s="169" t="s">
        <v>2433</v>
      </c>
      <c r="D2553" s="178" t="s">
        <v>2434</v>
      </c>
      <c r="E2553" s="121">
        <v>37937</v>
      </c>
      <c r="F2553" s="120">
        <v>0</v>
      </c>
    </row>
    <row r="2554" spans="1:6" ht="24">
      <c r="A2554" s="190">
        <v>540806</v>
      </c>
      <c r="B2554" s="176" t="s">
        <v>2722</v>
      </c>
      <c r="C2554" s="169">
        <v>215568855</v>
      </c>
      <c r="D2554" s="178" t="s">
        <v>2435</v>
      </c>
      <c r="E2554" s="121">
        <v>31345</v>
      </c>
      <c r="F2554" s="120">
        <v>0</v>
      </c>
    </row>
    <row r="2555" spans="1:6" ht="24">
      <c r="A2555" s="190">
        <v>540806</v>
      </c>
      <c r="B2555" s="176" t="s">
        <v>2722</v>
      </c>
      <c r="C2555" s="169" t="s">
        <v>2436</v>
      </c>
      <c r="D2555" s="178" t="s">
        <v>2437</v>
      </c>
      <c r="E2555" s="121">
        <v>146389</v>
      </c>
      <c r="F2555" s="120">
        <v>0</v>
      </c>
    </row>
    <row r="2556" spans="1:6" ht="24">
      <c r="A2556" s="190">
        <v>540806</v>
      </c>
      <c r="B2556" s="176" t="s">
        <v>2722</v>
      </c>
      <c r="C2556" s="169" t="s">
        <v>2438</v>
      </c>
      <c r="D2556" s="178" t="s">
        <v>2439</v>
      </c>
      <c r="E2556" s="121">
        <v>10172</v>
      </c>
      <c r="F2556" s="120">
        <v>0</v>
      </c>
    </row>
    <row r="2557" spans="1:6" ht="24">
      <c r="A2557" s="190">
        <v>540806</v>
      </c>
      <c r="B2557" s="176" t="s">
        <v>2722</v>
      </c>
      <c r="C2557" s="169" t="s">
        <v>2440</v>
      </c>
      <c r="D2557" s="178" t="s">
        <v>1427</v>
      </c>
      <c r="E2557" s="121">
        <v>38664</v>
      </c>
      <c r="F2557" s="120">
        <v>0</v>
      </c>
    </row>
    <row r="2558" spans="1:6" ht="24">
      <c r="A2558" s="190">
        <v>540806</v>
      </c>
      <c r="B2558" s="176" t="s">
        <v>2722</v>
      </c>
      <c r="C2558" s="169" t="s">
        <v>2441</v>
      </c>
      <c r="D2558" s="178" t="s">
        <v>2442</v>
      </c>
      <c r="E2558" s="121">
        <v>54041</v>
      </c>
      <c r="F2558" s="120">
        <v>0</v>
      </c>
    </row>
    <row r="2559" spans="1:6" ht="24">
      <c r="A2559" s="190">
        <v>540806</v>
      </c>
      <c r="B2559" s="176" t="s">
        <v>2722</v>
      </c>
      <c r="C2559" s="169">
        <v>211070110</v>
      </c>
      <c r="D2559" s="178" t="s">
        <v>1448</v>
      </c>
      <c r="E2559" s="121">
        <v>103711</v>
      </c>
      <c r="F2559" s="120">
        <v>0</v>
      </c>
    </row>
    <row r="2560" spans="1:6" ht="24">
      <c r="A2560" s="190">
        <v>540806</v>
      </c>
      <c r="B2560" s="176" t="s">
        <v>2722</v>
      </c>
      <c r="C2560" s="169">
        <v>212470124</v>
      </c>
      <c r="D2560" s="178" t="s">
        <v>2443</v>
      </c>
      <c r="E2560" s="121">
        <v>147569</v>
      </c>
      <c r="F2560" s="120">
        <v>0</v>
      </c>
    </row>
    <row r="2561" spans="1:6" ht="24">
      <c r="A2561" s="190">
        <v>540806</v>
      </c>
      <c r="B2561" s="176" t="s">
        <v>2722</v>
      </c>
      <c r="C2561" s="169">
        <v>210470204</v>
      </c>
      <c r="D2561" s="178" t="s">
        <v>2444</v>
      </c>
      <c r="E2561" s="121">
        <v>74964</v>
      </c>
      <c r="F2561" s="120">
        <v>0</v>
      </c>
    </row>
    <row r="2562" spans="1:6" ht="24">
      <c r="A2562" s="190">
        <v>540806</v>
      </c>
      <c r="B2562" s="176" t="s">
        <v>2722</v>
      </c>
      <c r="C2562" s="169">
        <v>211570215</v>
      </c>
      <c r="D2562" s="178" t="s">
        <v>2445</v>
      </c>
      <c r="E2562" s="121">
        <v>497807</v>
      </c>
      <c r="F2562" s="120">
        <v>0</v>
      </c>
    </row>
    <row r="2563" spans="1:6" ht="24">
      <c r="A2563" s="190">
        <v>540806</v>
      </c>
      <c r="B2563" s="176" t="s">
        <v>2722</v>
      </c>
      <c r="C2563" s="169" t="s">
        <v>2446</v>
      </c>
      <c r="D2563" s="178" t="s">
        <v>2447</v>
      </c>
      <c r="E2563" s="121">
        <v>129798</v>
      </c>
      <c r="F2563" s="120">
        <v>0</v>
      </c>
    </row>
    <row r="2564" spans="1:6" ht="24">
      <c r="A2564" s="190">
        <v>540806</v>
      </c>
      <c r="B2564" s="176" t="s">
        <v>2722</v>
      </c>
      <c r="C2564" s="169">
        <v>213070230</v>
      </c>
      <c r="D2564" s="178" t="s">
        <v>2448</v>
      </c>
      <c r="E2564" s="121">
        <v>50175</v>
      </c>
      <c r="F2564" s="120">
        <v>0</v>
      </c>
    </row>
    <row r="2565" spans="1:6" ht="24">
      <c r="A2565" s="190">
        <v>540806</v>
      </c>
      <c r="B2565" s="176" t="s">
        <v>2722</v>
      </c>
      <c r="C2565" s="169">
        <v>213370233</v>
      </c>
      <c r="D2565" s="178" t="s">
        <v>2449</v>
      </c>
      <c r="E2565" s="121">
        <v>85344</v>
      </c>
      <c r="F2565" s="120">
        <v>0</v>
      </c>
    </row>
    <row r="2566" spans="1:6" ht="24">
      <c r="A2566" s="190">
        <v>540806</v>
      </c>
      <c r="B2566" s="176" t="s">
        <v>2722</v>
      </c>
      <c r="C2566" s="169">
        <v>213570235</v>
      </c>
      <c r="D2566" s="178" t="s">
        <v>2450</v>
      </c>
      <c r="E2566" s="121">
        <v>192960</v>
      </c>
      <c r="F2566" s="120">
        <v>0</v>
      </c>
    </row>
    <row r="2567" spans="1:6" ht="24">
      <c r="A2567" s="190">
        <v>540806</v>
      </c>
      <c r="B2567" s="176" t="s">
        <v>2722</v>
      </c>
      <c r="C2567" s="169">
        <v>216570265</v>
      </c>
      <c r="D2567" s="178" t="s">
        <v>2451</v>
      </c>
      <c r="E2567" s="121">
        <v>188377</v>
      </c>
      <c r="F2567" s="120">
        <v>0</v>
      </c>
    </row>
    <row r="2568" spans="1:6" ht="24">
      <c r="A2568" s="190">
        <v>540806</v>
      </c>
      <c r="B2568" s="176" t="s">
        <v>2722</v>
      </c>
      <c r="C2568" s="169">
        <v>210070400</v>
      </c>
      <c r="D2568" s="178" t="s">
        <v>1202</v>
      </c>
      <c r="E2568" s="121">
        <v>126650</v>
      </c>
      <c r="F2568" s="120">
        <v>0</v>
      </c>
    </row>
    <row r="2569" spans="1:6" ht="24">
      <c r="A2569" s="190">
        <v>540806</v>
      </c>
      <c r="B2569" s="176" t="s">
        <v>2722</v>
      </c>
      <c r="C2569" s="169">
        <v>211870418</v>
      </c>
      <c r="D2569" s="178" t="s">
        <v>2452</v>
      </c>
      <c r="E2569" s="121">
        <v>231266</v>
      </c>
      <c r="F2569" s="120">
        <v>0</v>
      </c>
    </row>
    <row r="2570" spans="1:6" ht="24">
      <c r="A2570" s="190">
        <v>540806</v>
      </c>
      <c r="B2570" s="176" t="s">
        <v>2722</v>
      </c>
      <c r="C2570" s="169">
        <v>212970429</v>
      </c>
      <c r="D2570" s="178" t="s">
        <v>2453</v>
      </c>
      <c r="E2570" s="121">
        <v>447662</v>
      </c>
      <c r="F2570" s="120">
        <v>0</v>
      </c>
    </row>
    <row r="2571" spans="1:6" ht="24">
      <c r="A2571" s="190">
        <v>540806</v>
      </c>
      <c r="B2571" s="176" t="s">
        <v>2722</v>
      </c>
      <c r="C2571" s="169">
        <v>217370473</v>
      </c>
      <c r="D2571" s="178" t="s">
        <v>2454</v>
      </c>
      <c r="E2571" s="121">
        <v>128047</v>
      </c>
      <c r="F2571" s="120">
        <v>0</v>
      </c>
    </row>
    <row r="2572" spans="1:6" ht="24">
      <c r="A2572" s="190">
        <v>540806</v>
      </c>
      <c r="B2572" s="176" t="s">
        <v>2722</v>
      </c>
      <c r="C2572" s="169">
        <v>210870508</v>
      </c>
      <c r="D2572" s="178" t="s">
        <v>2455</v>
      </c>
      <c r="E2572" s="121">
        <v>233006</v>
      </c>
      <c r="F2572" s="120">
        <v>0</v>
      </c>
    </row>
    <row r="2573" spans="1:6" ht="24">
      <c r="A2573" s="190">
        <v>540806</v>
      </c>
      <c r="B2573" s="176" t="s">
        <v>2722</v>
      </c>
      <c r="C2573" s="169">
        <v>212370523</v>
      </c>
      <c r="D2573" s="178" t="s">
        <v>2456</v>
      </c>
      <c r="E2573" s="121">
        <v>151091</v>
      </c>
      <c r="F2573" s="120">
        <v>0</v>
      </c>
    </row>
    <row r="2574" spans="1:6" ht="24">
      <c r="A2574" s="190">
        <v>540806</v>
      </c>
      <c r="B2574" s="176" t="s">
        <v>2722</v>
      </c>
      <c r="C2574" s="169">
        <v>217070670</v>
      </c>
      <c r="D2574" s="178" t="s">
        <v>2457</v>
      </c>
      <c r="E2574" s="121">
        <v>425265</v>
      </c>
      <c r="F2574" s="120">
        <v>0</v>
      </c>
    </row>
    <row r="2575" spans="1:6" ht="24">
      <c r="A2575" s="190">
        <v>540806</v>
      </c>
      <c r="B2575" s="176" t="s">
        <v>2722</v>
      </c>
      <c r="C2575" s="169">
        <v>217870678</v>
      </c>
      <c r="D2575" s="178" t="s">
        <v>2458</v>
      </c>
      <c r="E2575" s="121">
        <v>292777</v>
      </c>
      <c r="F2575" s="120">
        <v>0</v>
      </c>
    </row>
    <row r="2576" spans="1:6" ht="24">
      <c r="A2576" s="190">
        <v>540806</v>
      </c>
      <c r="B2576" s="176" t="s">
        <v>2722</v>
      </c>
      <c r="C2576" s="169">
        <v>210270702</v>
      </c>
      <c r="D2576" s="178" t="s">
        <v>2459</v>
      </c>
      <c r="E2576" s="121">
        <v>122695</v>
      </c>
      <c r="F2576" s="120">
        <v>0</v>
      </c>
    </row>
    <row r="2577" spans="1:6" ht="24">
      <c r="A2577" s="190">
        <v>540806</v>
      </c>
      <c r="B2577" s="176" t="s">
        <v>2722</v>
      </c>
      <c r="C2577" s="169">
        <v>210870708</v>
      </c>
      <c r="D2577" s="178" t="s">
        <v>2460</v>
      </c>
      <c r="E2577" s="121">
        <v>501230</v>
      </c>
      <c r="F2577" s="120">
        <v>0</v>
      </c>
    </row>
    <row r="2578" spans="1:6" ht="24">
      <c r="A2578" s="190">
        <v>540806</v>
      </c>
      <c r="B2578" s="176" t="s">
        <v>2722</v>
      </c>
      <c r="C2578" s="169">
        <v>211370713</v>
      </c>
      <c r="D2578" s="178" t="s">
        <v>2461</v>
      </c>
      <c r="E2578" s="121">
        <v>590926</v>
      </c>
      <c r="F2578" s="120">
        <v>0</v>
      </c>
    </row>
    <row r="2579" spans="1:6" ht="24">
      <c r="A2579" s="190">
        <v>540806</v>
      </c>
      <c r="B2579" s="176" t="s">
        <v>2722</v>
      </c>
      <c r="C2579" s="169">
        <v>211770717</v>
      </c>
      <c r="D2579" s="178" t="s">
        <v>1259</v>
      </c>
      <c r="E2579" s="121">
        <v>181004</v>
      </c>
      <c r="F2579" s="120">
        <v>0</v>
      </c>
    </row>
    <row r="2580" spans="1:6" ht="24">
      <c r="A2580" s="190">
        <v>540806</v>
      </c>
      <c r="B2580" s="176" t="s">
        <v>2722</v>
      </c>
      <c r="C2580" s="169">
        <v>214270742</v>
      </c>
      <c r="D2580" s="178" t="s">
        <v>2462</v>
      </c>
      <c r="E2580" s="121">
        <v>255440</v>
      </c>
      <c r="F2580" s="120">
        <v>0</v>
      </c>
    </row>
    <row r="2581" spans="1:6" ht="24">
      <c r="A2581" s="190">
        <v>540806</v>
      </c>
      <c r="B2581" s="176" t="s">
        <v>2722</v>
      </c>
      <c r="C2581" s="169">
        <v>217170771</v>
      </c>
      <c r="D2581" s="178" t="s">
        <v>1011</v>
      </c>
      <c r="E2581" s="121">
        <v>313505</v>
      </c>
      <c r="F2581" s="120">
        <v>0</v>
      </c>
    </row>
    <row r="2582" spans="1:6" ht="24">
      <c r="A2582" s="190">
        <v>540806</v>
      </c>
      <c r="B2582" s="176" t="s">
        <v>2722</v>
      </c>
      <c r="C2582" s="169">
        <v>212070820</v>
      </c>
      <c r="D2582" s="178" t="s">
        <v>2463</v>
      </c>
      <c r="E2582" s="121">
        <v>241896</v>
      </c>
      <c r="F2582" s="120">
        <v>0</v>
      </c>
    </row>
    <row r="2583" spans="1:6" ht="24">
      <c r="A2583" s="190">
        <v>540806</v>
      </c>
      <c r="B2583" s="176" t="s">
        <v>2722</v>
      </c>
      <c r="C2583" s="169">
        <v>212370823</v>
      </c>
      <c r="D2583" s="178" t="s">
        <v>2464</v>
      </c>
      <c r="E2583" s="121">
        <v>209524</v>
      </c>
      <c r="F2583" s="120">
        <v>0</v>
      </c>
    </row>
    <row r="2584" spans="1:6" ht="24">
      <c r="A2584" s="190">
        <v>540806</v>
      </c>
      <c r="B2584" s="176" t="s">
        <v>2722</v>
      </c>
      <c r="C2584" s="169">
        <v>212473024</v>
      </c>
      <c r="D2584" s="178" t="s">
        <v>2465</v>
      </c>
      <c r="E2584" s="121">
        <v>35000</v>
      </c>
      <c r="F2584" s="120">
        <v>0</v>
      </c>
    </row>
    <row r="2585" spans="1:6" ht="24">
      <c r="A2585" s="190">
        <v>540806</v>
      </c>
      <c r="B2585" s="176" t="s">
        <v>2722</v>
      </c>
      <c r="C2585" s="169">
        <v>212673026</v>
      </c>
      <c r="D2585" s="178" t="s">
        <v>2466</v>
      </c>
      <c r="E2585" s="121">
        <v>64978</v>
      </c>
      <c r="F2585" s="120">
        <v>0</v>
      </c>
    </row>
    <row r="2586" spans="1:6" ht="24">
      <c r="A2586" s="190">
        <v>540806</v>
      </c>
      <c r="B2586" s="176" t="s">
        <v>2722</v>
      </c>
      <c r="C2586" s="169">
        <v>213073030</v>
      </c>
      <c r="D2586" s="178" t="s">
        <v>2467</v>
      </c>
      <c r="E2586" s="121">
        <v>61522</v>
      </c>
      <c r="F2586" s="120">
        <v>0</v>
      </c>
    </row>
    <row r="2587" spans="1:6" ht="24">
      <c r="A2587" s="190">
        <v>540806</v>
      </c>
      <c r="B2587" s="176" t="s">
        <v>2722</v>
      </c>
      <c r="C2587" s="169">
        <v>214373043</v>
      </c>
      <c r="D2587" s="178" t="s">
        <v>2468</v>
      </c>
      <c r="E2587" s="121">
        <v>75272</v>
      </c>
      <c r="F2587" s="120">
        <v>0</v>
      </c>
    </row>
    <row r="2588" spans="1:6" ht="24">
      <c r="A2588" s="190">
        <v>540806</v>
      </c>
      <c r="B2588" s="176" t="s">
        <v>2722</v>
      </c>
      <c r="C2588" s="169">
        <v>215573055</v>
      </c>
      <c r="D2588" s="178" t="s">
        <v>2469</v>
      </c>
      <c r="E2588" s="121">
        <v>105209</v>
      </c>
      <c r="F2588" s="120">
        <v>0</v>
      </c>
    </row>
    <row r="2589" spans="1:6" ht="24">
      <c r="A2589" s="190">
        <v>540806</v>
      </c>
      <c r="B2589" s="176" t="s">
        <v>2722</v>
      </c>
      <c r="C2589" s="169">
        <v>216773067</v>
      </c>
      <c r="D2589" s="178" t="s">
        <v>2470</v>
      </c>
      <c r="E2589" s="121">
        <v>192963</v>
      </c>
      <c r="F2589" s="120">
        <v>0</v>
      </c>
    </row>
    <row r="2590" spans="1:6" ht="24">
      <c r="A2590" s="190">
        <v>540806</v>
      </c>
      <c r="B2590" s="176" t="s">
        <v>2722</v>
      </c>
      <c r="C2590" s="169">
        <v>212473124</v>
      </c>
      <c r="D2590" s="178" t="s">
        <v>2471</v>
      </c>
      <c r="E2590" s="121">
        <v>132370</v>
      </c>
      <c r="F2590" s="120">
        <v>0</v>
      </c>
    </row>
    <row r="2591" spans="1:6" ht="24">
      <c r="A2591" s="190">
        <v>540806</v>
      </c>
      <c r="B2591" s="176" t="s">
        <v>2722</v>
      </c>
      <c r="C2591" s="169">
        <v>214873148</v>
      </c>
      <c r="D2591" s="178" t="s">
        <v>2472</v>
      </c>
      <c r="E2591" s="121">
        <v>56253</v>
      </c>
      <c r="F2591" s="120">
        <v>0</v>
      </c>
    </row>
    <row r="2592" spans="1:6" ht="24">
      <c r="A2592" s="190">
        <v>540806</v>
      </c>
      <c r="B2592" s="176" t="s">
        <v>2722</v>
      </c>
      <c r="C2592" s="169">
        <v>215273152</v>
      </c>
      <c r="D2592" s="178" t="s">
        <v>2473</v>
      </c>
      <c r="E2592" s="121">
        <v>48292</v>
      </c>
      <c r="F2592" s="120">
        <v>0</v>
      </c>
    </row>
    <row r="2593" spans="1:6" ht="24">
      <c r="A2593" s="190">
        <v>540806</v>
      </c>
      <c r="B2593" s="176" t="s">
        <v>2722</v>
      </c>
      <c r="C2593" s="169">
        <v>216873168</v>
      </c>
      <c r="D2593" s="178" t="s">
        <v>2474</v>
      </c>
      <c r="E2593" s="121">
        <v>409251</v>
      </c>
      <c r="F2593" s="120">
        <v>0</v>
      </c>
    </row>
    <row r="2594" spans="1:6" ht="24">
      <c r="A2594" s="190">
        <v>540806</v>
      </c>
      <c r="B2594" s="176" t="s">
        <v>2722</v>
      </c>
      <c r="C2594" s="169">
        <v>210073200</v>
      </c>
      <c r="D2594" s="178" t="s">
        <v>2475</v>
      </c>
      <c r="E2594" s="121">
        <v>68672</v>
      </c>
      <c r="F2594" s="120">
        <v>0</v>
      </c>
    </row>
    <row r="2595" spans="1:6" ht="24">
      <c r="A2595" s="190">
        <v>540806</v>
      </c>
      <c r="B2595" s="176" t="s">
        <v>2722</v>
      </c>
      <c r="C2595" s="169">
        <v>211773217</v>
      </c>
      <c r="D2595" s="178" t="s">
        <v>2476</v>
      </c>
      <c r="E2595" s="121">
        <v>331456</v>
      </c>
      <c r="F2595" s="120">
        <v>0</v>
      </c>
    </row>
    <row r="2596" spans="1:6" ht="24">
      <c r="A2596" s="190">
        <v>540806</v>
      </c>
      <c r="B2596" s="176" t="s">
        <v>2722</v>
      </c>
      <c r="C2596" s="169">
        <v>212673226</v>
      </c>
      <c r="D2596" s="178" t="s">
        <v>2477</v>
      </c>
      <c r="E2596" s="121">
        <v>77118</v>
      </c>
      <c r="F2596" s="120">
        <v>0</v>
      </c>
    </row>
    <row r="2597" spans="1:6" ht="24">
      <c r="A2597" s="190">
        <v>540806</v>
      </c>
      <c r="B2597" s="176" t="s">
        <v>2722</v>
      </c>
      <c r="C2597" s="169">
        <v>213673236</v>
      </c>
      <c r="D2597" s="178" t="s">
        <v>2478</v>
      </c>
      <c r="E2597" s="121">
        <v>65611</v>
      </c>
      <c r="F2597" s="120">
        <v>0</v>
      </c>
    </row>
    <row r="2598" spans="1:6" ht="24">
      <c r="A2598" s="190">
        <v>540806</v>
      </c>
      <c r="B2598" s="176" t="s">
        <v>2722</v>
      </c>
      <c r="C2598" s="169">
        <v>216873268</v>
      </c>
      <c r="D2598" s="178" t="s">
        <v>2479</v>
      </c>
      <c r="E2598" s="121">
        <v>452294</v>
      </c>
      <c r="F2598" s="120">
        <v>0</v>
      </c>
    </row>
    <row r="2599" spans="1:6" ht="24">
      <c r="A2599" s="190">
        <v>540806</v>
      </c>
      <c r="B2599" s="176" t="s">
        <v>2722</v>
      </c>
      <c r="C2599" s="169">
        <v>217073270</v>
      </c>
      <c r="D2599" s="178" t="s">
        <v>2480</v>
      </c>
      <c r="E2599" s="121">
        <v>64735</v>
      </c>
      <c r="F2599" s="120">
        <v>0</v>
      </c>
    </row>
    <row r="2600" spans="1:6" ht="24">
      <c r="A2600" s="190">
        <v>540806</v>
      </c>
      <c r="B2600" s="176" t="s">
        <v>2722</v>
      </c>
      <c r="C2600" s="169">
        <v>217573275</v>
      </c>
      <c r="D2600" s="178" t="s">
        <v>2481</v>
      </c>
      <c r="E2600" s="121">
        <v>169999</v>
      </c>
      <c r="F2600" s="120">
        <v>0</v>
      </c>
    </row>
    <row r="2601" spans="1:6" ht="24">
      <c r="A2601" s="190">
        <v>540806</v>
      </c>
      <c r="B2601" s="176" t="s">
        <v>2722</v>
      </c>
      <c r="C2601" s="169">
        <v>218373283</v>
      </c>
      <c r="D2601" s="178" t="s">
        <v>2482</v>
      </c>
      <c r="E2601" s="121">
        <v>222748</v>
      </c>
      <c r="F2601" s="120">
        <v>0</v>
      </c>
    </row>
    <row r="2602" spans="1:6" ht="24">
      <c r="A2602" s="190">
        <v>540806</v>
      </c>
      <c r="B2602" s="176" t="s">
        <v>2722</v>
      </c>
      <c r="C2602" s="169">
        <v>211973319</v>
      </c>
      <c r="D2602" s="178" t="s">
        <v>2483</v>
      </c>
      <c r="E2602" s="121">
        <v>249576</v>
      </c>
      <c r="F2602" s="120">
        <v>0</v>
      </c>
    </row>
    <row r="2603" spans="1:6" ht="24">
      <c r="A2603" s="190">
        <v>540806</v>
      </c>
      <c r="B2603" s="176" t="s">
        <v>2722</v>
      </c>
      <c r="C2603" s="169">
        <v>214773347</v>
      </c>
      <c r="D2603" s="178" t="s">
        <v>2484</v>
      </c>
      <c r="E2603" s="121">
        <v>57314</v>
      </c>
      <c r="F2603" s="120">
        <v>0</v>
      </c>
    </row>
    <row r="2604" spans="1:6" ht="24">
      <c r="A2604" s="190">
        <v>540806</v>
      </c>
      <c r="B2604" s="176" t="s">
        <v>2722</v>
      </c>
      <c r="C2604" s="169">
        <v>214973349</v>
      </c>
      <c r="D2604" s="178" t="s">
        <v>2485</v>
      </c>
      <c r="E2604" s="121">
        <v>187974</v>
      </c>
      <c r="F2604" s="120">
        <v>0</v>
      </c>
    </row>
    <row r="2605" spans="1:6" ht="24">
      <c r="A2605" s="190">
        <v>540806</v>
      </c>
      <c r="B2605" s="176" t="s">
        <v>2722</v>
      </c>
      <c r="C2605" s="169">
        <v>215273352</v>
      </c>
      <c r="D2605" s="178" t="s">
        <v>2486</v>
      </c>
      <c r="E2605" s="121">
        <v>99007</v>
      </c>
      <c r="F2605" s="120">
        <v>0</v>
      </c>
    </row>
    <row r="2606" spans="1:6" ht="24">
      <c r="A2606" s="190">
        <v>540806</v>
      </c>
      <c r="B2606" s="176" t="s">
        <v>2722</v>
      </c>
      <c r="C2606" s="169">
        <v>210873408</v>
      </c>
      <c r="D2606" s="178" t="s">
        <v>2487</v>
      </c>
      <c r="E2606" s="121">
        <v>133151</v>
      </c>
      <c r="F2606" s="120">
        <v>0</v>
      </c>
    </row>
    <row r="2607" spans="1:6" ht="24">
      <c r="A2607" s="190">
        <v>540806</v>
      </c>
      <c r="B2607" s="176" t="s">
        <v>2722</v>
      </c>
      <c r="C2607" s="169">
        <v>211173411</v>
      </c>
      <c r="D2607" s="178" t="s">
        <v>2488</v>
      </c>
      <c r="E2607" s="121">
        <v>301153</v>
      </c>
      <c r="F2607" s="120">
        <v>0</v>
      </c>
    </row>
    <row r="2608" spans="1:6" ht="24">
      <c r="A2608" s="190">
        <v>540806</v>
      </c>
      <c r="B2608" s="176" t="s">
        <v>2722</v>
      </c>
      <c r="C2608" s="169">
        <v>214373443</v>
      </c>
      <c r="D2608" s="178" t="s">
        <v>2489</v>
      </c>
      <c r="E2608" s="121">
        <v>234338</v>
      </c>
      <c r="F2608" s="120">
        <v>0</v>
      </c>
    </row>
    <row r="2609" spans="1:6" ht="24">
      <c r="A2609" s="190">
        <v>540806</v>
      </c>
      <c r="B2609" s="176" t="s">
        <v>2722</v>
      </c>
      <c r="C2609" s="169">
        <v>214973449</v>
      </c>
      <c r="D2609" s="178" t="s">
        <v>2490</v>
      </c>
      <c r="E2609" s="121">
        <v>246449</v>
      </c>
      <c r="F2609" s="120">
        <v>0</v>
      </c>
    </row>
    <row r="2610" spans="1:6" ht="24">
      <c r="A2610" s="190">
        <v>540806</v>
      </c>
      <c r="B2610" s="176" t="s">
        <v>2722</v>
      </c>
      <c r="C2610" s="169">
        <v>216173461</v>
      </c>
      <c r="D2610" s="178" t="s">
        <v>2491</v>
      </c>
      <c r="E2610" s="121">
        <v>38090</v>
      </c>
      <c r="F2610" s="120">
        <v>0</v>
      </c>
    </row>
    <row r="2611" spans="1:6" ht="24">
      <c r="A2611" s="190">
        <v>540806</v>
      </c>
      <c r="B2611" s="176" t="s">
        <v>2722</v>
      </c>
      <c r="C2611" s="169">
        <v>218373483</v>
      </c>
      <c r="D2611" s="178" t="s">
        <v>2492</v>
      </c>
      <c r="E2611" s="121">
        <v>148113</v>
      </c>
      <c r="F2611" s="120">
        <v>0</v>
      </c>
    </row>
    <row r="2612" spans="1:6" ht="24">
      <c r="A2612" s="190">
        <v>540806</v>
      </c>
      <c r="B2612" s="176" t="s">
        <v>2722</v>
      </c>
      <c r="C2612" s="169">
        <v>210473504</v>
      </c>
      <c r="D2612" s="178" t="s">
        <v>2493</v>
      </c>
      <c r="E2612" s="121">
        <v>337439</v>
      </c>
      <c r="F2612" s="120">
        <v>0</v>
      </c>
    </row>
    <row r="2613" spans="1:6" ht="24">
      <c r="A2613" s="190">
        <v>540806</v>
      </c>
      <c r="B2613" s="176" t="s">
        <v>2722</v>
      </c>
      <c r="C2613" s="169">
        <v>212073520</v>
      </c>
      <c r="D2613" s="178" t="s">
        <v>2494</v>
      </c>
      <c r="E2613" s="121">
        <v>66218</v>
      </c>
      <c r="F2613" s="120">
        <v>0</v>
      </c>
    </row>
    <row r="2614" spans="1:6" ht="24">
      <c r="A2614" s="190">
        <v>540806</v>
      </c>
      <c r="B2614" s="176" t="s">
        <v>2722</v>
      </c>
      <c r="C2614" s="169">
        <v>214773547</v>
      </c>
      <c r="D2614" s="178" t="s">
        <v>2495</v>
      </c>
      <c r="E2614" s="121">
        <v>37938</v>
      </c>
      <c r="F2614" s="120">
        <v>0</v>
      </c>
    </row>
    <row r="2615" spans="1:6" ht="24">
      <c r="A2615" s="190">
        <v>540806</v>
      </c>
      <c r="B2615" s="176" t="s">
        <v>2722</v>
      </c>
      <c r="C2615" s="169">
        <v>215573555</v>
      </c>
      <c r="D2615" s="178" t="s">
        <v>2496</v>
      </c>
      <c r="E2615" s="121">
        <v>274677</v>
      </c>
      <c r="F2615" s="120">
        <v>0</v>
      </c>
    </row>
    <row r="2616" spans="1:6" ht="24">
      <c r="A2616" s="190">
        <v>540806</v>
      </c>
      <c r="B2616" s="176" t="s">
        <v>2722</v>
      </c>
      <c r="C2616" s="169">
        <v>216373563</v>
      </c>
      <c r="D2616" s="178" t="s">
        <v>2497</v>
      </c>
      <c r="E2616" s="121">
        <v>72121</v>
      </c>
      <c r="F2616" s="120">
        <v>0</v>
      </c>
    </row>
    <row r="2617" spans="1:6" ht="24">
      <c r="A2617" s="190">
        <v>540806</v>
      </c>
      <c r="B2617" s="176" t="s">
        <v>2722</v>
      </c>
      <c r="C2617" s="169">
        <v>218573585</v>
      </c>
      <c r="D2617" s="178" t="s">
        <v>2498</v>
      </c>
      <c r="E2617" s="121">
        <v>169885</v>
      </c>
      <c r="F2617" s="120">
        <v>0</v>
      </c>
    </row>
    <row r="2618" spans="1:6" ht="24">
      <c r="A2618" s="190">
        <v>540806</v>
      </c>
      <c r="B2618" s="176" t="s">
        <v>2722</v>
      </c>
      <c r="C2618" s="169">
        <v>211673616</v>
      </c>
      <c r="D2618" s="178" t="s">
        <v>2499</v>
      </c>
      <c r="E2618" s="121">
        <v>237716</v>
      </c>
      <c r="F2618" s="120">
        <v>0</v>
      </c>
    </row>
    <row r="2619" spans="1:6" ht="24">
      <c r="A2619" s="190">
        <v>540806</v>
      </c>
      <c r="B2619" s="176" t="s">
        <v>2722</v>
      </c>
      <c r="C2619" s="169">
        <v>212273622</v>
      </c>
      <c r="D2619" s="178" t="s">
        <v>2500</v>
      </c>
      <c r="E2619" s="121">
        <v>46658</v>
      </c>
      <c r="F2619" s="120">
        <v>0</v>
      </c>
    </row>
    <row r="2620" spans="1:6" ht="24">
      <c r="A2620" s="190">
        <v>540806</v>
      </c>
      <c r="B2620" s="176" t="s">
        <v>2722</v>
      </c>
      <c r="C2620" s="169">
        <v>212473624</v>
      </c>
      <c r="D2620" s="178" t="s">
        <v>2501</v>
      </c>
      <c r="E2620" s="121">
        <v>190081</v>
      </c>
      <c r="F2620" s="120">
        <v>0</v>
      </c>
    </row>
    <row r="2621" spans="1:6" ht="24">
      <c r="A2621" s="190">
        <v>540806</v>
      </c>
      <c r="B2621" s="176" t="s">
        <v>2722</v>
      </c>
      <c r="C2621" s="169">
        <v>217173671</v>
      </c>
      <c r="D2621" s="178" t="s">
        <v>2502</v>
      </c>
      <c r="E2621" s="121">
        <v>95928</v>
      </c>
      <c r="F2621" s="120">
        <v>0</v>
      </c>
    </row>
    <row r="2622" spans="1:6" ht="24">
      <c r="A2622" s="190">
        <v>540806</v>
      </c>
      <c r="B2622" s="176" t="s">
        <v>2722</v>
      </c>
      <c r="C2622" s="169">
        <v>217573675</v>
      </c>
      <c r="D2622" s="178" t="s">
        <v>2503</v>
      </c>
      <c r="E2622" s="121">
        <v>128697</v>
      </c>
      <c r="F2622" s="120">
        <v>0</v>
      </c>
    </row>
    <row r="2623" spans="1:6" ht="24">
      <c r="A2623" s="190">
        <v>540806</v>
      </c>
      <c r="B2623" s="176" t="s">
        <v>2722</v>
      </c>
      <c r="C2623" s="169">
        <v>217873678</v>
      </c>
      <c r="D2623" s="178" t="s">
        <v>1257</v>
      </c>
      <c r="E2623" s="121">
        <v>107642</v>
      </c>
      <c r="F2623" s="120">
        <v>0</v>
      </c>
    </row>
    <row r="2624" spans="1:6" ht="24">
      <c r="A2624" s="190">
        <v>540806</v>
      </c>
      <c r="B2624" s="176" t="s">
        <v>2722</v>
      </c>
      <c r="C2624" s="169">
        <v>218673686</v>
      </c>
      <c r="D2624" s="178" t="s">
        <v>2504</v>
      </c>
      <c r="E2624" s="121">
        <v>57043</v>
      </c>
      <c r="F2624" s="120">
        <v>0</v>
      </c>
    </row>
    <row r="2625" spans="1:6" ht="24">
      <c r="A2625" s="190">
        <v>540806</v>
      </c>
      <c r="B2625" s="176" t="s">
        <v>2722</v>
      </c>
      <c r="C2625" s="169">
        <v>217073770</v>
      </c>
      <c r="D2625" s="178" t="s">
        <v>1700</v>
      </c>
      <c r="E2625" s="121">
        <v>36094</v>
      </c>
      <c r="F2625" s="120">
        <v>0</v>
      </c>
    </row>
    <row r="2626" spans="1:6" ht="24">
      <c r="A2626" s="190">
        <v>540806</v>
      </c>
      <c r="B2626" s="176" t="s">
        <v>2722</v>
      </c>
      <c r="C2626" s="169">
        <v>215473854</v>
      </c>
      <c r="D2626" s="178" t="s">
        <v>2505</v>
      </c>
      <c r="E2626" s="121">
        <v>43754</v>
      </c>
      <c r="F2626" s="120">
        <v>0</v>
      </c>
    </row>
    <row r="2627" spans="1:6" ht="24">
      <c r="A2627" s="190">
        <v>540806</v>
      </c>
      <c r="B2627" s="176" t="s">
        <v>2722</v>
      </c>
      <c r="C2627" s="169">
        <v>216173861</v>
      </c>
      <c r="D2627" s="178" t="s">
        <v>2506</v>
      </c>
      <c r="E2627" s="121">
        <v>102973</v>
      </c>
      <c r="F2627" s="120">
        <v>0</v>
      </c>
    </row>
    <row r="2628" spans="1:6" ht="24">
      <c r="A2628" s="190">
        <v>540806</v>
      </c>
      <c r="B2628" s="176" t="s">
        <v>2722</v>
      </c>
      <c r="C2628" s="169">
        <v>217073870</v>
      </c>
      <c r="D2628" s="178" t="s">
        <v>2507</v>
      </c>
      <c r="E2628" s="121">
        <v>81324</v>
      </c>
      <c r="F2628" s="120">
        <v>0</v>
      </c>
    </row>
    <row r="2629" spans="1:6" ht="24">
      <c r="A2629" s="190">
        <v>540806</v>
      </c>
      <c r="B2629" s="176" t="s">
        <v>2722</v>
      </c>
      <c r="C2629" s="169">
        <v>217373873</v>
      </c>
      <c r="D2629" s="178" t="s">
        <v>2508</v>
      </c>
      <c r="E2629" s="121">
        <v>44477</v>
      </c>
      <c r="F2629" s="120">
        <v>0</v>
      </c>
    </row>
    <row r="2630" spans="1:6" ht="24">
      <c r="A2630" s="190">
        <v>540806</v>
      </c>
      <c r="B2630" s="176" t="s">
        <v>2722</v>
      </c>
      <c r="C2630" s="169">
        <v>212076020</v>
      </c>
      <c r="D2630" s="178" t="s">
        <v>2509</v>
      </c>
      <c r="E2630" s="121">
        <v>109995</v>
      </c>
      <c r="F2630" s="120">
        <v>0</v>
      </c>
    </row>
    <row r="2631" spans="1:6" ht="24">
      <c r="A2631" s="190">
        <v>540806</v>
      </c>
      <c r="B2631" s="176" t="s">
        <v>2722</v>
      </c>
      <c r="C2631" s="169">
        <v>213676036</v>
      </c>
      <c r="D2631" s="178" t="s">
        <v>2510</v>
      </c>
      <c r="E2631" s="121">
        <v>137933</v>
      </c>
      <c r="F2631" s="120">
        <v>0</v>
      </c>
    </row>
    <row r="2632" spans="1:6" ht="24">
      <c r="A2632" s="190">
        <v>540806</v>
      </c>
      <c r="B2632" s="176" t="s">
        <v>2722</v>
      </c>
      <c r="C2632" s="169">
        <v>214176041</v>
      </c>
      <c r="D2632" s="178" t="s">
        <v>2511</v>
      </c>
      <c r="E2632" s="121">
        <v>125104</v>
      </c>
      <c r="F2632" s="120">
        <v>0</v>
      </c>
    </row>
    <row r="2633" spans="1:6" ht="24">
      <c r="A2633" s="190">
        <v>540806</v>
      </c>
      <c r="B2633" s="176" t="s">
        <v>2722</v>
      </c>
      <c r="C2633" s="169">
        <v>215476054</v>
      </c>
      <c r="D2633" s="178" t="s">
        <v>1114</v>
      </c>
      <c r="E2633" s="121">
        <v>44899</v>
      </c>
      <c r="F2633" s="120">
        <v>0</v>
      </c>
    </row>
    <row r="2634" spans="1:6" ht="24">
      <c r="A2634" s="190">
        <v>540806</v>
      </c>
      <c r="B2634" s="176" t="s">
        <v>2722</v>
      </c>
      <c r="C2634" s="169">
        <v>210076100</v>
      </c>
      <c r="D2634" s="178" t="s">
        <v>994</v>
      </c>
      <c r="E2634" s="121">
        <v>117714</v>
      </c>
      <c r="F2634" s="120">
        <v>0</v>
      </c>
    </row>
    <row r="2635" spans="1:6" ht="24">
      <c r="A2635" s="190">
        <v>540806</v>
      </c>
      <c r="B2635" s="176" t="s">
        <v>2722</v>
      </c>
      <c r="C2635" s="169">
        <v>211376113</v>
      </c>
      <c r="D2635" s="178" t="s">
        <v>2512</v>
      </c>
      <c r="E2635" s="121">
        <v>91725</v>
      </c>
      <c r="F2635" s="120">
        <v>0</v>
      </c>
    </row>
    <row r="2636" spans="1:6" ht="24">
      <c r="A2636" s="190">
        <v>540806</v>
      </c>
      <c r="B2636" s="176" t="s">
        <v>2722</v>
      </c>
      <c r="C2636" s="169">
        <v>212276122</v>
      </c>
      <c r="D2636" s="178" t="s">
        <v>2513</v>
      </c>
      <c r="E2636" s="121">
        <v>210838</v>
      </c>
      <c r="F2636" s="120">
        <v>0</v>
      </c>
    </row>
    <row r="2637" spans="1:6" ht="24">
      <c r="A2637" s="190">
        <v>540806</v>
      </c>
      <c r="B2637" s="176" t="s">
        <v>2722</v>
      </c>
      <c r="C2637" s="169">
        <v>212676126</v>
      </c>
      <c r="D2637" s="178" t="s">
        <v>2514</v>
      </c>
      <c r="E2637" s="121">
        <v>118650</v>
      </c>
      <c r="F2637" s="120">
        <v>0</v>
      </c>
    </row>
    <row r="2638" spans="1:6" ht="24">
      <c r="A2638" s="190">
        <v>540806</v>
      </c>
      <c r="B2638" s="176" t="s">
        <v>2722</v>
      </c>
      <c r="C2638" s="169">
        <v>213076130</v>
      </c>
      <c r="D2638" s="178" t="s">
        <v>1320</v>
      </c>
      <c r="E2638" s="121">
        <v>413227</v>
      </c>
      <c r="F2638" s="120">
        <v>0</v>
      </c>
    </row>
    <row r="2639" spans="1:6" ht="24">
      <c r="A2639" s="190">
        <v>540806</v>
      </c>
      <c r="B2639" s="176" t="s">
        <v>2722</v>
      </c>
      <c r="C2639" s="169">
        <v>213376233</v>
      </c>
      <c r="D2639" s="178" t="s">
        <v>2515</v>
      </c>
      <c r="E2639" s="121">
        <v>232521</v>
      </c>
      <c r="F2639" s="120">
        <v>0</v>
      </c>
    </row>
    <row r="2640" spans="1:6" ht="24">
      <c r="A2640" s="190">
        <v>540806</v>
      </c>
      <c r="B2640" s="176" t="s">
        <v>2722</v>
      </c>
      <c r="C2640" s="169">
        <v>214376243</v>
      </c>
      <c r="D2640" s="178" t="s">
        <v>2516</v>
      </c>
      <c r="E2640" s="121">
        <v>70059</v>
      </c>
      <c r="F2640" s="120">
        <v>0</v>
      </c>
    </row>
    <row r="2641" spans="1:6" ht="24">
      <c r="A2641" s="190">
        <v>540806</v>
      </c>
      <c r="B2641" s="176" t="s">
        <v>2722</v>
      </c>
      <c r="C2641" s="169">
        <v>214676246</v>
      </c>
      <c r="D2641" s="178" t="s">
        <v>2517</v>
      </c>
      <c r="E2641" s="121">
        <v>58131</v>
      </c>
      <c r="F2641" s="120">
        <v>0</v>
      </c>
    </row>
    <row r="2642" spans="1:6" ht="24">
      <c r="A2642" s="190">
        <v>540806</v>
      </c>
      <c r="B2642" s="176" t="s">
        <v>2722</v>
      </c>
      <c r="C2642" s="169">
        <v>214876248</v>
      </c>
      <c r="D2642" s="178" t="s">
        <v>2518</v>
      </c>
      <c r="E2642" s="121">
        <v>303993</v>
      </c>
      <c r="F2642" s="120">
        <v>0</v>
      </c>
    </row>
    <row r="2643" spans="1:6" ht="24">
      <c r="A2643" s="190">
        <v>540806</v>
      </c>
      <c r="B2643" s="176" t="s">
        <v>2722</v>
      </c>
      <c r="C2643" s="169">
        <v>215076250</v>
      </c>
      <c r="D2643" s="178" t="s">
        <v>2519</v>
      </c>
      <c r="E2643" s="121">
        <v>110389</v>
      </c>
      <c r="F2643" s="120">
        <v>0</v>
      </c>
    </row>
    <row r="2644" spans="1:6" ht="24">
      <c r="A2644" s="190">
        <v>540806</v>
      </c>
      <c r="B2644" s="176" t="s">
        <v>2722</v>
      </c>
      <c r="C2644" s="169">
        <v>217576275</v>
      </c>
      <c r="D2644" s="178" t="s">
        <v>2520</v>
      </c>
      <c r="E2644" s="121">
        <v>371546</v>
      </c>
      <c r="F2644" s="120">
        <v>0</v>
      </c>
    </row>
    <row r="2645" spans="1:6" ht="24">
      <c r="A2645" s="190">
        <v>540806</v>
      </c>
      <c r="B2645" s="176" t="s">
        <v>2722</v>
      </c>
      <c r="C2645" s="169">
        <v>210676306</v>
      </c>
      <c r="D2645" s="178" t="s">
        <v>2521</v>
      </c>
      <c r="E2645" s="121">
        <v>119439</v>
      </c>
      <c r="F2645" s="120">
        <v>0</v>
      </c>
    </row>
    <row r="2646" spans="1:6" ht="24">
      <c r="A2646" s="190">
        <v>540806</v>
      </c>
      <c r="B2646" s="176" t="s">
        <v>2722</v>
      </c>
      <c r="C2646" s="169">
        <v>211876318</v>
      </c>
      <c r="D2646" s="178" t="s">
        <v>2522</v>
      </c>
      <c r="E2646" s="121">
        <v>206174</v>
      </c>
      <c r="F2646" s="120">
        <v>0</v>
      </c>
    </row>
    <row r="2647" spans="1:6" ht="24">
      <c r="A2647" s="190">
        <v>540806</v>
      </c>
      <c r="B2647" s="176" t="s">
        <v>2722</v>
      </c>
      <c r="C2647" s="169">
        <v>216476364</v>
      </c>
      <c r="D2647" s="178" t="s">
        <v>2523</v>
      </c>
      <c r="E2647" s="121">
        <v>464845</v>
      </c>
      <c r="F2647" s="120">
        <v>0</v>
      </c>
    </row>
    <row r="2648" spans="1:6" ht="24">
      <c r="A2648" s="190">
        <v>540806</v>
      </c>
      <c r="B2648" s="176" t="s">
        <v>2722</v>
      </c>
      <c r="C2648" s="169">
        <v>217776377</v>
      </c>
      <c r="D2648" s="178" t="s">
        <v>2524</v>
      </c>
      <c r="E2648" s="121">
        <v>81864</v>
      </c>
      <c r="F2648" s="120">
        <v>0</v>
      </c>
    </row>
    <row r="2649" spans="1:6" ht="24">
      <c r="A2649" s="190">
        <v>540806</v>
      </c>
      <c r="B2649" s="176" t="s">
        <v>2722</v>
      </c>
      <c r="C2649" s="169">
        <v>210076400</v>
      </c>
      <c r="D2649" s="178" t="s">
        <v>1202</v>
      </c>
      <c r="E2649" s="121">
        <v>218892</v>
      </c>
      <c r="F2649" s="120">
        <v>0</v>
      </c>
    </row>
    <row r="2650" spans="1:6" ht="24">
      <c r="A2650" s="190">
        <v>540806</v>
      </c>
      <c r="B2650" s="176" t="s">
        <v>2722</v>
      </c>
      <c r="C2650" s="169">
        <v>210376403</v>
      </c>
      <c r="D2650" s="178" t="s">
        <v>1515</v>
      </c>
      <c r="E2650" s="121">
        <v>106996</v>
      </c>
      <c r="F2650" s="120">
        <v>0</v>
      </c>
    </row>
    <row r="2651" spans="1:6" ht="24">
      <c r="A2651" s="190">
        <v>540806</v>
      </c>
      <c r="B2651" s="176" t="s">
        <v>2722</v>
      </c>
      <c r="C2651" s="169">
        <v>219776497</v>
      </c>
      <c r="D2651" s="178" t="s">
        <v>2525</v>
      </c>
      <c r="E2651" s="121">
        <v>100913</v>
      </c>
      <c r="F2651" s="120">
        <v>0</v>
      </c>
    </row>
    <row r="2652" spans="1:6" ht="24">
      <c r="A2652" s="190">
        <v>540806</v>
      </c>
      <c r="B2652" s="176" t="s">
        <v>2722</v>
      </c>
      <c r="C2652" s="169">
        <v>216376563</v>
      </c>
      <c r="D2652" s="178" t="s">
        <v>2526</v>
      </c>
      <c r="E2652" s="121">
        <v>357503</v>
      </c>
      <c r="F2652" s="120">
        <v>0</v>
      </c>
    </row>
    <row r="2653" spans="1:6" ht="24">
      <c r="A2653" s="190">
        <v>540806</v>
      </c>
      <c r="B2653" s="176" t="s">
        <v>2722</v>
      </c>
      <c r="C2653" s="169">
        <v>210676606</v>
      </c>
      <c r="D2653" s="178" t="s">
        <v>2191</v>
      </c>
      <c r="E2653" s="121">
        <v>122347</v>
      </c>
      <c r="F2653" s="120">
        <v>0</v>
      </c>
    </row>
    <row r="2654" spans="1:6" ht="24">
      <c r="A2654" s="190">
        <v>540806</v>
      </c>
      <c r="B2654" s="176" t="s">
        <v>2722</v>
      </c>
      <c r="C2654" s="169">
        <v>211676616</v>
      </c>
      <c r="D2654" s="178" t="s">
        <v>2527</v>
      </c>
      <c r="E2654" s="121">
        <v>131704</v>
      </c>
      <c r="F2654" s="120">
        <v>0</v>
      </c>
    </row>
    <row r="2655" spans="1:6" ht="24">
      <c r="A2655" s="190">
        <v>540806</v>
      </c>
      <c r="B2655" s="176" t="s">
        <v>2722</v>
      </c>
      <c r="C2655" s="169">
        <v>212276622</v>
      </c>
      <c r="D2655" s="178" t="s">
        <v>2528</v>
      </c>
      <c r="E2655" s="121">
        <v>256371</v>
      </c>
      <c r="F2655" s="120">
        <v>0</v>
      </c>
    </row>
    <row r="2656" spans="1:6" ht="24">
      <c r="A2656" s="190">
        <v>540806</v>
      </c>
      <c r="B2656" s="176" t="s">
        <v>2722</v>
      </c>
      <c r="C2656" s="169">
        <v>217076670</v>
      </c>
      <c r="D2656" s="178" t="s">
        <v>1259</v>
      </c>
      <c r="E2656" s="121">
        <v>116288</v>
      </c>
      <c r="F2656" s="120">
        <v>0</v>
      </c>
    </row>
    <row r="2657" spans="1:6" ht="24">
      <c r="A2657" s="190">
        <v>540806</v>
      </c>
      <c r="B2657" s="176" t="s">
        <v>2722</v>
      </c>
      <c r="C2657" s="169">
        <v>213676736</v>
      </c>
      <c r="D2657" s="178" t="s">
        <v>2529</v>
      </c>
      <c r="E2657" s="121">
        <v>324793</v>
      </c>
      <c r="F2657" s="120">
        <v>0</v>
      </c>
    </row>
    <row r="2658" spans="1:6" ht="24">
      <c r="A2658" s="190">
        <v>540806</v>
      </c>
      <c r="B2658" s="176" t="s">
        <v>2722</v>
      </c>
      <c r="C2658" s="169">
        <v>212376823</v>
      </c>
      <c r="D2658" s="178" t="s">
        <v>2530</v>
      </c>
      <c r="E2658" s="121">
        <v>127643</v>
      </c>
      <c r="F2658" s="120">
        <v>0</v>
      </c>
    </row>
    <row r="2659" spans="1:6" ht="24">
      <c r="A2659" s="190">
        <v>540806</v>
      </c>
      <c r="B2659" s="176" t="s">
        <v>2722</v>
      </c>
      <c r="C2659" s="169">
        <v>212876828</v>
      </c>
      <c r="D2659" s="178" t="s">
        <v>2531</v>
      </c>
      <c r="E2659" s="121">
        <v>133212</v>
      </c>
      <c r="F2659" s="120">
        <v>0</v>
      </c>
    </row>
    <row r="2660" spans="1:6" ht="24">
      <c r="A2660" s="190">
        <v>540806</v>
      </c>
      <c r="B2660" s="176" t="s">
        <v>2722</v>
      </c>
      <c r="C2660" s="169">
        <v>214576845</v>
      </c>
      <c r="D2660" s="178" t="s">
        <v>2532</v>
      </c>
      <c r="E2660" s="121">
        <v>36266</v>
      </c>
      <c r="F2660" s="120">
        <v>0</v>
      </c>
    </row>
    <row r="2661" spans="1:6" ht="24">
      <c r="A2661" s="190">
        <v>540806</v>
      </c>
      <c r="B2661" s="176" t="s">
        <v>2722</v>
      </c>
      <c r="C2661" s="169">
        <v>216376863</v>
      </c>
      <c r="D2661" s="178" t="s">
        <v>2533</v>
      </c>
      <c r="E2661" s="121">
        <v>57162</v>
      </c>
      <c r="F2661" s="120">
        <v>0</v>
      </c>
    </row>
    <row r="2662" spans="1:6" ht="24">
      <c r="A2662" s="190">
        <v>540806</v>
      </c>
      <c r="B2662" s="176" t="s">
        <v>2722</v>
      </c>
      <c r="C2662" s="169">
        <v>216976869</v>
      </c>
      <c r="D2662" s="178" t="s">
        <v>2534</v>
      </c>
      <c r="E2662" s="121">
        <v>46329</v>
      </c>
      <c r="F2662" s="120">
        <v>0</v>
      </c>
    </row>
    <row r="2663" spans="1:6" ht="24">
      <c r="A2663" s="190">
        <v>540806</v>
      </c>
      <c r="B2663" s="176" t="s">
        <v>2722</v>
      </c>
      <c r="C2663" s="169">
        <v>219076890</v>
      </c>
      <c r="D2663" s="178" t="s">
        <v>2535</v>
      </c>
      <c r="E2663" s="121">
        <v>127794</v>
      </c>
      <c r="F2663" s="120">
        <v>0</v>
      </c>
    </row>
    <row r="2664" spans="1:6" ht="24">
      <c r="A2664" s="190">
        <v>540806</v>
      </c>
      <c r="B2664" s="176" t="s">
        <v>2722</v>
      </c>
      <c r="C2664" s="169">
        <v>219276892</v>
      </c>
      <c r="D2664" s="178" t="s">
        <v>2536</v>
      </c>
      <c r="E2664" s="121">
        <v>660250</v>
      </c>
      <c r="F2664" s="120">
        <v>0</v>
      </c>
    </row>
    <row r="2665" spans="1:6" ht="24">
      <c r="A2665" s="190">
        <v>540806</v>
      </c>
      <c r="B2665" s="176" t="s">
        <v>2722</v>
      </c>
      <c r="C2665" s="169">
        <v>219576895</v>
      </c>
      <c r="D2665" s="178" t="s">
        <v>2537</v>
      </c>
      <c r="E2665" s="121">
        <v>275410</v>
      </c>
      <c r="F2665" s="120">
        <v>0</v>
      </c>
    </row>
    <row r="2666" spans="1:6" ht="24">
      <c r="A2666" s="190">
        <v>540806</v>
      </c>
      <c r="B2666" s="176" t="s">
        <v>2722</v>
      </c>
      <c r="C2666" s="169">
        <v>210181001</v>
      </c>
      <c r="D2666" s="178" t="s">
        <v>1014</v>
      </c>
      <c r="E2666" s="121">
        <v>489433</v>
      </c>
      <c r="F2666" s="120">
        <v>0</v>
      </c>
    </row>
    <row r="2667" spans="1:6" ht="24">
      <c r="A2667" s="190">
        <v>540806</v>
      </c>
      <c r="B2667" s="176" t="s">
        <v>2722</v>
      </c>
      <c r="C2667" s="169">
        <v>216581065</v>
      </c>
      <c r="D2667" s="178" t="s">
        <v>2538</v>
      </c>
      <c r="E2667" s="121">
        <v>340787</v>
      </c>
      <c r="F2667" s="120">
        <v>0</v>
      </c>
    </row>
    <row r="2668" spans="1:6" ht="24">
      <c r="A2668" s="190">
        <v>540806</v>
      </c>
      <c r="B2668" s="176" t="s">
        <v>2722</v>
      </c>
      <c r="C2668" s="169">
        <v>212081220</v>
      </c>
      <c r="D2668" s="178" t="s">
        <v>2539</v>
      </c>
      <c r="E2668" s="121">
        <v>29139</v>
      </c>
      <c r="F2668" s="120">
        <v>0</v>
      </c>
    </row>
    <row r="2669" spans="1:6" ht="24">
      <c r="A2669" s="190">
        <v>540806</v>
      </c>
      <c r="B2669" s="176" t="s">
        <v>2722</v>
      </c>
      <c r="C2669" s="169">
        <v>210081300</v>
      </c>
      <c r="D2669" s="178" t="s">
        <v>2540</v>
      </c>
      <c r="E2669" s="121">
        <v>194561</v>
      </c>
      <c r="F2669" s="120">
        <v>0</v>
      </c>
    </row>
    <row r="2670" spans="1:6" ht="24">
      <c r="A2670" s="190">
        <v>540806</v>
      </c>
      <c r="B2670" s="176" t="s">
        <v>2722</v>
      </c>
      <c r="C2670" s="169">
        <v>219181591</v>
      </c>
      <c r="D2670" s="178" t="s">
        <v>2541</v>
      </c>
      <c r="E2670" s="121">
        <v>33885</v>
      </c>
      <c r="F2670" s="120">
        <v>0</v>
      </c>
    </row>
    <row r="2671" spans="1:6" ht="24">
      <c r="A2671" s="190">
        <v>540806</v>
      </c>
      <c r="B2671" s="176" t="s">
        <v>2722</v>
      </c>
      <c r="C2671" s="169">
        <v>213681736</v>
      </c>
      <c r="D2671" s="178" t="s">
        <v>2542</v>
      </c>
      <c r="E2671" s="121">
        <v>395123</v>
      </c>
      <c r="F2671" s="120">
        <v>0</v>
      </c>
    </row>
    <row r="2672" spans="1:6" ht="24">
      <c r="A2672" s="190">
        <v>540806</v>
      </c>
      <c r="B2672" s="176" t="s">
        <v>2722</v>
      </c>
      <c r="C2672" s="169">
        <v>219481794</v>
      </c>
      <c r="D2672" s="178" t="s">
        <v>2543</v>
      </c>
      <c r="E2672" s="121">
        <v>421768</v>
      </c>
      <c r="F2672" s="120">
        <v>0</v>
      </c>
    </row>
    <row r="2673" spans="1:6" ht="24">
      <c r="A2673" s="190">
        <v>540806</v>
      </c>
      <c r="B2673" s="176" t="s">
        <v>2722</v>
      </c>
      <c r="C2673" s="169">
        <v>210185001</v>
      </c>
      <c r="D2673" s="178" t="s">
        <v>2544</v>
      </c>
      <c r="E2673" s="121">
        <v>818324</v>
      </c>
      <c r="F2673" s="120">
        <v>0</v>
      </c>
    </row>
    <row r="2674" spans="1:6" ht="24">
      <c r="A2674" s="190">
        <v>540806</v>
      </c>
      <c r="B2674" s="176" t="s">
        <v>2722</v>
      </c>
      <c r="C2674" s="169">
        <v>211085010</v>
      </c>
      <c r="D2674" s="178" t="s">
        <v>2545</v>
      </c>
      <c r="E2674" s="121">
        <v>257599</v>
      </c>
      <c r="F2674" s="120">
        <v>0</v>
      </c>
    </row>
    <row r="2675" spans="1:6" ht="24">
      <c r="A2675" s="190">
        <v>540806</v>
      </c>
      <c r="B2675" s="176" t="s">
        <v>2722</v>
      </c>
      <c r="C2675" s="169">
        <v>211585015</v>
      </c>
      <c r="D2675" s="178" t="s">
        <v>2546</v>
      </c>
      <c r="E2675" s="121">
        <v>14139</v>
      </c>
      <c r="F2675" s="120">
        <v>0</v>
      </c>
    </row>
    <row r="2676" spans="1:6" ht="24">
      <c r="A2676" s="190">
        <v>540806</v>
      </c>
      <c r="B2676" s="176" t="s">
        <v>2722</v>
      </c>
      <c r="C2676" s="169">
        <v>212585125</v>
      </c>
      <c r="D2676" s="178" t="s">
        <v>2547</v>
      </c>
      <c r="E2676" s="121">
        <v>106290</v>
      </c>
      <c r="F2676" s="120">
        <v>0</v>
      </c>
    </row>
    <row r="2677" spans="1:6" ht="24">
      <c r="A2677" s="190">
        <v>540806</v>
      </c>
      <c r="B2677" s="176" t="s">
        <v>2722</v>
      </c>
      <c r="C2677" s="169">
        <v>213685136</v>
      </c>
      <c r="D2677" s="178" t="s">
        <v>2548</v>
      </c>
      <c r="E2677" s="121">
        <v>14094</v>
      </c>
      <c r="F2677" s="120">
        <v>0</v>
      </c>
    </row>
    <row r="2678" spans="1:6" ht="24">
      <c r="A2678" s="190">
        <v>540806</v>
      </c>
      <c r="B2678" s="176" t="s">
        <v>2722</v>
      </c>
      <c r="C2678" s="169">
        <v>213985139</v>
      </c>
      <c r="D2678" s="178" t="s">
        <v>2549</v>
      </c>
      <c r="E2678" s="121">
        <v>93137</v>
      </c>
      <c r="F2678" s="120">
        <v>0</v>
      </c>
    </row>
    <row r="2679" spans="1:6" ht="24">
      <c r="A2679" s="190">
        <v>540806</v>
      </c>
      <c r="B2679" s="176" t="s">
        <v>2722</v>
      </c>
      <c r="C2679" s="169">
        <v>216285162</v>
      </c>
      <c r="D2679" s="178" t="s">
        <v>2550</v>
      </c>
      <c r="E2679" s="121">
        <v>112024</v>
      </c>
      <c r="F2679" s="120">
        <v>0</v>
      </c>
    </row>
    <row r="2680" spans="1:6" ht="24">
      <c r="A2680" s="190">
        <v>540806</v>
      </c>
      <c r="B2680" s="176" t="s">
        <v>2722</v>
      </c>
      <c r="C2680" s="169">
        <v>212585225</v>
      </c>
      <c r="D2680" s="178" t="s">
        <v>2551</v>
      </c>
      <c r="E2680" s="121">
        <v>94128</v>
      </c>
      <c r="F2680" s="120">
        <v>0</v>
      </c>
    </row>
    <row r="2681" spans="1:6" ht="24">
      <c r="A2681" s="190">
        <v>540806</v>
      </c>
      <c r="B2681" s="176" t="s">
        <v>2722</v>
      </c>
      <c r="C2681" s="169">
        <v>213085230</v>
      </c>
      <c r="D2681" s="178" t="s">
        <v>2552</v>
      </c>
      <c r="E2681" s="121">
        <v>82838</v>
      </c>
      <c r="F2681" s="120">
        <v>0</v>
      </c>
    </row>
    <row r="2682" spans="1:6" ht="24">
      <c r="A2682" s="190">
        <v>540806</v>
      </c>
      <c r="B2682" s="176" t="s">
        <v>2722</v>
      </c>
      <c r="C2682" s="169">
        <v>215085250</v>
      </c>
      <c r="D2682" s="178" t="s">
        <v>2553</v>
      </c>
      <c r="E2682" s="121">
        <v>240700</v>
      </c>
      <c r="F2682" s="120">
        <v>0</v>
      </c>
    </row>
    <row r="2683" spans="1:6" ht="24">
      <c r="A2683" s="190">
        <v>540806</v>
      </c>
      <c r="B2683" s="176" t="s">
        <v>2722</v>
      </c>
      <c r="C2683" s="169">
        <v>216385263</v>
      </c>
      <c r="D2683" s="178" t="s">
        <v>2554</v>
      </c>
      <c r="E2683" s="121">
        <v>64165</v>
      </c>
      <c r="F2683" s="120">
        <v>0</v>
      </c>
    </row>
    <row r="2684" spans="1:6" ht="24">
      <c r="A2684" s="190">
        <v>540806</v>
      </c>
      <c r="B2684" s="176" t="s">
        <v>2722</v>
      </c>
      <c r="C2684" s="169">
        <v>217985279</v>
      </c>
      <c r="D2684" s="178" t="s">
        <v>2555</v>
      </c>
      <c r="E2684" s="121">
        <v>12505</v>
      </c>
      <c r="F2684" s="120">
        <v>0</v>
      </c>
    </row>
    <row r="2685" spans="1:6" ht="24">
      <c r="A2685" s="190">
        <v>540806</v>
      </c>
      <c r="B2685" s="176" t="s">
        <v>2722</v>
      </c>
      <c r="C2685" s="169">
        <v>210085300</v>
      </c>
      <c r="D2685" s="178" t="s">
        <v>1241</v>
      </c>
      <c r="E2685" s="121">
        <v>32337</v>
      </c>
      <c r="F2685" s="120">
        <v>0</v>
      </c>
    </row>
    <row r="2686" spans="1:6" ht="24">
      <c r="A2686" s="190">
        <v>540806</v>
      </c>
      <c r="B2686" s="176" t="s">
        <v>2722</v>
      </c>
      <c r="C2686" s="169">
        <v>211585315</v>
      </c>
      <c r="D2686" s="178" t="s">
        <v>2556</v>
      </c>
      <c r="E2686" s="121">
        <v>15906</v>
      </c>
      <c r="F2686" s="120">
        <v>0</v>
      </c>
    </row>
    <row r="2687" spans="1:6" ht="24">
      <c r="A2687" s="190">
        <v>540806</v>
      </c>
      <c r="B2687" s="176" t="s">
        <v>2722</v>
      </c>
      <c r="C2687" s="169">
        <v>212585325</v>
      </c>
      <c r="D2687" s="178" t="s">
        <v>2557</v>
      </c>
      <c r="E2687" s="121">
        <v>51380</v>
      </c>
      <c r="F2687" s="120">
        <v>0</v>
      </c>
    </row>
    <row r="2688" spans="1:6" ht="24">
      <c r="A2688" s="190">
        <v>540806</v>
      </c>
      <c r="B2688" s="176" t="s">
        <v>2722</v>
      </c>
      <c r="C2688" s="169">
        <v>210085400</v>
      </c>
      <c r="D2688" s="178" t="s">
        <v>2558</v>
      </c>
      <c r="E2688" s="121">
        <v>90365</v>
      </c>
      <c r="F2688" s="120">
        <v>0</v>
      </c>
    </row>
    <row r="2689" spans="1:6" ht="24">
      <c r="A2689" s="190">
        <v>540806</v>
      </c>
      <c r="B2689" s="176" t="s">
        <v>2722</v>
      </c>
      <c r="C2689" s="169">
        <v>211085410</v>
      </c>
      <c r="D2689" s="178" t="s">
        <v>2559</v>
      </c>
      <c r="E2689" s="121">
        <v>138282</v>
      </c>
      <c r="F2689" s="120">
        <v>0</v>
      </c>
    </row>
    <row r="2690" spans="1:6" ht="24">
      <c r="A2690" s="190">
        <v>540806</v>
      </c>
      <c r="B2690" s="176" t="s">
        <v>2722</v>
      </c>
      <c r="C2690" s="169">
        <v>213085430</v>
      </c>
      <c r="D2690" s="178" t="s">
        <v>2560</v>
      </c>
      <c r="E2690" s="121">
        <v>105521</v>
      </c>
      <c r="F2690" s="120">
        <v>0</v>
      </c>
    </row>
    <row r="2691" spans="1:6" ht="24">
      <c r="A2691" s="190">
        <v>540806</v>
      </c>
      <c r="B2691" s="176" t="s">
        <v>2722</v>
      </c>
      <c r="C2691" s="169">
        <v>214085440</v>
      </c>
      <c r="D2691" s="178" t="s">
        <v>1427</v>
      </c>
      <c r="E2691" s="121">
        <v>173885</v>
      </c>
      <c r="F2691" s="120">
        <v>0</v>
      </c>
    </row>
    <row r="2692" spans="1:6" ht="24">
      <c r="A2692" s="190">
        <v>540806</v>
      </c>
      <c r="B2692" s="176" t="s">
        <v>2722</v>
      </c>
      <c r="C2692" s="170">
        <v>210186001</v>
      </c>
      <c r="D2692" s="178" t="s">
        <v>2561</v>
      </c>
      <c r="E2692" s="121">
        <v>306571</v>
      </c>
      <c r="F2692" s="120">
        <v>0</v>
      </c>
    </row>
    <row r="2693" spans="1:6" ht="24">
      <c r="A2693" s="190">
        <v>540806</v>
      </c>
      <c r="B2693" s="176" t="s">
        <v>2722</v>
      </c>
      <c r="C2693" s="170">
        <v>211986219</v>
      </c>
      <c r="D2693" s="178" t="s">
        <v>2562</v>
      </c>
      <c r="E2693" s="121">
        <v>38604</v>
      </c>
      <c r="F2693" s="120">
        <v>0</v>
      </c>
    </row>
    <row r="2694" spans="1:6" ht="24">
      <c r="A2694" s="190">
        <v>540806</v>
      </c>
      <c r="B2694" s="176" t="s">
        <v>2722</v>
      </c>
      <c r="C2694" s="169">
        <v>212086320</v>
      </c>
      <c r="D2694" s="178" t="s">
        <v>2563</v>
      </c>
      <c r="E2694" s="121">
        <v>449342</v>
      </c>
      <c r="F2694" s="120">
        <v>0</v>
      </c>
    </row>
    <row r="2695" spans="1:6" ht="24">
      <c r="A2695" s="190">
        <v>540806</v>
      </c>
      <c r="B2695" s="176" t="s">
        <v>2722</v>
      </c>
      <c r="C2695" s="169">
        <v>216886568</v>
      </c>
      <c r="D2695" s="178" t="s">
        <v>2564</v>
      </c>
      <c r="E2695" s="121">
        <v>514505</v>
      </c>
      <c r="F2695" s="120">
        <v>0</v>
      </c>
    </row>
    <row r="2696" spans="1:6" ht="24">
      <c r="A2696" s="190">
        <v>540806</v>
      </c>
      <c r="B2696" s="176" t="s">
        <v>2722</v>
      </c>
      <c r="C2696" s="169">
        <v>216986569</v>
      </c>
      <c r="D2696" s="178" t="s">
        <v>2565</v>
      </c>
      <c r="E2696" s="121">
        <v>122826</v>
      </c>
      <c r="F2696" s="120">
        <v>0</v>
      </c>
    </row>
    <row r="2697" spans="1:6" ht="24">
      <c r="A2697" s="190">
        <v>540806</v>
      </c>
      <c r="B2697" s="176" t="s">
        <v>2722</v>
      </c>
      <c r="C2697" s="169">
        <v>217186571</v>
      </c>
      <c r="D2697" s="178" t="s">
        <v>2566</v>
      </c>
      <c r="E2697" s="121">
        <v>315832</v>
      </c>
      <c r="F2697" s="120">
        <v>0</v>
      </c>
    </row>
    <row r="2698" spans="1:6" ht="24">
      <c r="A2698" s="190">
        <v>540806</v>
      </c>
      <c r="B2698" s="176" t="s">
        <v>2722</v>
      </c>
      <c r="C2698" s="170">
        <v>217386573</v>
      </c>
      <c r="D2698" s="178" t="s">
        <v>2567</v>
      </c>
      <c r="E2698" s="121">
        <v>261677</v>
      </c>
      <c r="F2698" s="120">
        <v>0</v>
      </c>
    </row>
    <row r="2699" spans="1:6" ht="24">
      <c r="A2699" s="190">
        <v>540806</v>
      </c>
      <c r="B2699" s="176" t="s">
        <v>2722</v>
      </c>
      <c r="C2699" s="170">
        <v>214986749</v>
      </c>
      <c r="D2699" s="178" t="s">
        <v>2568</v>
      </c>
      <c r="E2699" s="121">
        <v>124262</v>
      </c>
      <c r="F2699" s="120">
        <v>0</v>
      </c>
    </row>
    <row r="2700" spans="1:6" ht="24">
      <c r="A2700" s="190">
        <v>540806</v>
      </c>
      <c r="B2700" s="176" t="s">
        <v>2722</v>
      </c>
      <c r="C2700" s="170">
        <v>215586755</v>
      </c>
      <c r="D2700" s="178" t="s">
        <v>1249</v>
      </c>
      <c r="E2700" s="121">
        <v>44095</v>
      </c>
      <c r="F2700" s="120">
        <v>0</v>
      </c>
    </row>
    <row r="2701" spans="1:6" ht="24">
      <c r="A2701" s="190">
        <v>540806</v>
      </c>
      <c r="B2701" s="176" t="s">
        <v>2722</v>
      </c>
      <c r="C2701" s="170">
        <v>215786757</v>
      </c>
      <c r="D2701" s="178" t="s">
        <v>2569</v>
      </c>
      <c r="E2701" s="121">
        <v>164135</v>
      </c>
      <c r="F2701" s="120">
        <v>0</v>
      </c>
    </row>
    <row r="2702" spans="1:6" ht="24">
      <c r="A2702" s="190">
        <v>540806</v>
      </c>
      <c r="B2702" s="176" t="s">
        <v>2722</v>
      </c>
      <c r="C2702" s="170">
        <v>216086760</v>
      </c>
      <c r="D2702" s="178" t="s">
        <v>2276</v>
      </c>
      <c r="E2702" s="121">
        <v>74001</v>
      </c>
      <c r="F2702" s="120">
        <v>0</v>
      </c>
    </row>
    <row r="2703" spans="1:6" ht="24">
      <c r="A2703" s="190">
        <v>540806</v>
      </c>
      <c r="B2703" s="176" t="s">
        <v>2722</v>
      </c>
      <c r="C2703" s="170">
        <v>216586865</v>
      </c>
      <c r="D2703" s="178" t="s">
        <v>2570</v>
      </c>
      <c r="E2703" s="121">
        <v>387615</v>
      </c>
      <c r="F2703" s="120">
        <v>0</v>
      </c>
    </row>
    <row r="2704" spans="1:6" ht="24">
      <c r="A2704" s="190">
        <v>540806</v>
      </c>
      <c r="B2704" s="176" t="s">
        <v>2722</v>
      </c>
      <c r="C2704" s="170">
        <v>218586885</v>
      </c>
      <c r="D2704" s="178" t="s">
        <v>2571</v>
      </c>
      <c r="E2704" s="121">
        <v>205924</v>
      </c>
      <c r="F2704" s="120">
        <v>0</v>
      </c>
    </row>
    <row r="2705" spans="1:6" ht="24">
      <c r="A2705" s="190">
        <v>540806</v>
      </c>
      <c r="B2705" s="176" t="s">
        <v>2722</v>
      </c>
      <c r="C2705" s="170" t="s">
        <v>2572</v>
      </c>
      <c r="D2705" s="178" t="s">
        <v>1017</v>
      </c>
      <c r="E2705" s="121">
        <v>342301</v>
      </c>
      <c r="F2705" s="120">
        <v>0</v>
      </c>
    </row>
    <row r="2706" spans="1:6" ht="24">
      <c r="A2706" s="190">
        <v>540806</v>
      </c>
      <c r="B2706" s="176" t="s">
        <v>2722</v>
      </c>
      <c r="C2706" s="170">
        <v>216488564</v>
      </c>
      <c r="D2706" s="178" t="s">
        <v>2573</v>
      </c>
      <c r="E2706" s="121">
        <v>32424</v>
      </c>
      <c r="F2706" s="120">
        <v>0</v>
      </c>
    </row>
    <row r="2707" spans="1:6" ht="24">
      <c r="A2707" s="190">
        <v>540806</v>
      </c>
      <c r="B2707" s="176" t="s">
        <v>2722</v>
      </c>
      <c r="C2707" s="169">
        <v>210191001</v>
      </c>
      <c r="D2707" s="178" t="s">
        <v>2574</v>
      </c>
      <c r="E2707" s="121">
        <v>787358</v>
      </c>
      <c r="F2707" s="120">
        <v>0</v>
      </c>
    </row>
    <row r="2708" spans="1:6" ht="24">
      <c r="A2708" s="190">
        <v>540806</v>
      </c>
      <c r="B2708" s="176" t="s">
        <v>2722</v>
      </c>
      <c r="C2708" s="169">
        <v>214091540</v>
      </c>
      <c r="D2708" s="178" t="s">
        <v>2575</v>
      </c>
      <c r="E2708" s="121">
        <v>92949</v>
      </c>
      <c r="F2708" s="120">
        <v>0</v>
      </c>
    </row>
    <row r="2709" spans="1:6" ht="24">
      <c r="A2709" s="190">
        <v>540806</v>
      </c>
      <c r="B2709" s="176" t="s">
        <v>2722</v>
      </c>
      <c r="C2709" s="170">
        <v>210194001</v>
      </c>
      <c r="D2709" s="178" t="s">
        <v>2576</v>
      </c>
      <c r="E2709" s="121">
        <v>393423</v>
      </c>
      <c r="F2709" s="120">
        <v>0</v>
      </c>
    </row>
    <row r="2710" spans="1:6" ht="24">
      <c r="A2710" s="190">
        <v>540806</v>
      </c>
      <c r="B2710" s="176" t="s">
        <v>2722</v>
      </c>
      <c r="C2710" s="170">
        <v>210195001</v>
      </c>
      <c r="D2710" s="178" t="s">
        <v>2577</v>
      </c>
      <c r="E2710" s="121">
        <v>508365</v>
      </c>
      <c r="F2710" s="120">
        <v>0</v>
      </c>
    </row>
    <row r="2711" spans="1:6" ht="24">
      <c r="A2711" s="190">
        <v>540806</v>
      </c>
      <c r="B2711" s="176" t="s">
        <v>2722</v>
      </c>
      <c r="C2711" s="169">
        <v>211595015</v>
      </c>
      <c r="D2711" s="178" t="s">
        <v>1366</v>
      </c>
      <c r="E2711" s="121">
        <v>74890</v>
      </c>
      <c r="F2711" s="120">
        <v>0</v>
      </c>
    </row>
    <row r="2712" spans="1:6" ht="24">
      <c r="A2712" s="190">
        <v>540806</v>
      </c>
      <c r="B2712" s="176" t="s">
        <v>2722</v>
      </c>
      <c r="C2712" s="170">
        <v>212595025</v>
      </c>
      <c r="D2712" s="178" t="s">
        <v>2578</v>
      </c>
      <c r="E2712" s="121">
        <v>183555</v>
      </c>
      <c r="F2712" s="120">
        <v>0</v>
      </c>
    </row>
    <row r="2713" spans="1:6" ht="24">
      <c r="A2713" s="190">
        <v>540806</v>
      </c>
      <c r="B2713" s="176" t="s">
        <v>2722</v>
      </c>
      <c r="C2713" s="170">
        <v>210095200</v>
      </c>
      <c r="D2713" s="178" t="s">
        <v>1525</v>
      </c>
      <c r="E2713" s="121">
        <v>65011</v>
      </c>
      <c r="F2713" s="120">
        <v>0</v>
      </c>
    </row>
    <row r="2714" spans="1:6" ht="24">
      <c r="A2714" s="190">
        <v>540806</v>
      </c>
      <c r="B2714" s="176" t="s">
        <v>2722</v>
      </c>
      <c r="C2714" s="169">
        <v>210197001</v>
      </c>
      <c r="D2714" s="178" t="s">
        <v>2579</v>
      </c>
      <c r="E2714" s="121">
        <v>327466</v>
      </c>
      <c r="F2714" s="120">
        <v>0</v>
      </c>
    </row>
    <row r="2715" spans="1:6" ht="24">
      <c r="A2715" s="190">
        <v>540806</v>
      </c>
      <c r="B2715" s="176" t="s">
        <v>2722</v>
      </c>
      <c r="C2715" s="169">
        <v>216197161</v>
      </c>
      <c r="D2715" s="178" t="s">
        <v>2580</v>
      </c>
      <c r="E2715" s="121">
        <v>37135</v>
      </c>
      <c r="F2715" s="120">
        <v>0</v>
      </c>
    </row>
    <row r="2716" spans="1:6" ht="24">
      <c r="A2716" s="190">
        <v>540806</v>
      </c>
      <c r="B2716" s="176" t="s">
        <v>2722</v>
      </c>
      <c r="C2716" s="169">
        <v>216697666</v>
      </c>
      <c r="D2716" s="178" t="s">
        <v>2581</v>
      </c>
      <c r="E2716" s="121">
        <v>15328</v>
      </c>
      <c r="F2716" s="120">
        <v>0</v>
      </c>
    </row>
    <row r="2717" spans="1:6" ht="24">
      <c r="A2717" s="190">
        <v>540806</v>
      </c>
      <c r="B2717" s="176" t="s">
        <v>2722</v>
      </c>
      <c r="C2717" s="169">
        <v>210199001</v>
      </c>
      <c r="D2717" s="178" t="s">
        <v>2582</v>
      </c>
      <c r="E2717" s="121">
        <v>98836</v>
      </c>
      <c r="F2717" s="120">
        <v>0</v>
      </c>
    </row>
    <row r="2718" spans="1:6" ht="24">
      <c r="A2718" s="190">
        <v>540806</v>
      </c>
      <c r="B2718" s="176" t="s">
        <v>2722</v>
      </c>
      <c r="C2718" s="169">
        <v>212499524</v>
      </c>
      <c r="D2718" s="178" t="s">
        <v>2583</v>
      </c>
      <c r="E2718" s="121">
        <v>98479</v>
      </c>
      <c r="F2718" s="120">
        <v>0</v>
      </c>
    </row>
    <row r="2719" spans="1:6" ht="24">
      <c r="A2719" s="190">
        <v>540806</v>
      </c>
      <c r="B2719" s="176" t="s">
        <v>2722</v>
      </c>
      <c r="C2719" s="169">
        <v>212499624</v>
      </c>
      <c r="D2719" s="178" t="s">
        <v>2584</v>
      </c>
      <c r="E2719" s="121">
        <v>41782</v>
      </c>
      <c r="F2719" s="120">
        <v>0</v>
      </c>
    </row>
    <row r="2720" spans="1:6" ht="24">
      <c r="A2720" s="190">
        <v>540806</v>
      </c>
      <c r="B2720" s="176" t="s">
        <v>2722</v>
      </c>
      <c r="C2720" s="169">
        <v>217399773</v>
      </c>
      <c r="D2720" s="178" t="s">
        <v>2585</v>
      </c>
      <c r="E2720" s="121">
        <v>419430</v>
      </c>
      <c r="F2720" s="120">
        <v>0</v>
      </c>
    </row>
    <row r="2721" spans="1:6" ht="12">
      <c r="A2721" s="190">
        <v>540812</v>
      </c>
      <c r="B2721" s="176" t="s">
        <v>2723</v>
      </c>
      <c r="C2721" s="169">
        <v>210111001</v>
      </c>
      <c r="D2721" s="181" t="s">
        <v>2760</v>
      </c>
      <c r="E2721" s="121">
        <v>434383205</v>
      </c>
      <c r="F2721" s="120">
        <v>0</v>
      </c>
    </row>
    <row r="2722" spans="1:6" ht="12">
      <c r="A2722" s="190">
        <v>540812</v>
      </c>
      <c r="B2722" s="176" t="s">
        <v>2723</v>
      </c>
      <c r="C2722" s="169">
        <v>210108001</v>
      </c>
      <c r="D2722" s="181" t="s">
        <v>1023</v>
      </c>
      <c r="E2722" s="121">
        <v>85119532</v>
      </c>
      <c r="F2722" s="120">
        <v>0</v>
      </c>
    </row>
    <row r="2723" spans="1:6" ht="12">
      <c r="A2723" s="190">
        <v>540812</v>
      </c>
      <c r="B2723" s="176" t="s">
        <v>2723</v>
      </c>
      <c r="C2723" s="169">
        <v>210113001</v>
      </c>
      <c r="D2723" s="181" t="s">
        <v>1024</v>
      </c>
      <c r="E2723" s="121">
        <v>83242668</v>
      </c>
      <c r="F2723" s="120">
        <v>0</v>
      </c>
    </row>
    <row r="2724" spans="1:6" ht="12">
      <c r="A2724" s="190">
        <v>540812</v>
      </c>
      <c r="B2724" s="176" t="s">
        <v>2723</v>
      </c>
      <c r="C2724" s="169">
        <v>210147001</v>
      </c>
      <c r="D2724" s="181" t="s">
        <v>2724</v>
      </c>
      <c r="E2724" s="121">
        <v>38521206</v>
      </c>
      <c r="F2724" s="120">
        <v>0</v>
      </c>
    </row>
    <row r="2725" spans="1:6" ht="24">
      <c r="A2725" s="190">
        <v>560205</v>
      </c>
      <c r="B2725" s="176" t="s">
        <v>2725</v>
      </c>
      <c r="C2725" s="164" t="s">
        <v>2664</v>
      </c>
      <c r="D2725" s="181" t="s">
        <v>2726</v>
      </c>
      <c r="E2725" s="121">
        <v>670001</v>
      </c>
      <c r="F2725" s="120">
        <v>0</v>
      </c>
    </row>
    <row r="2726" spans="1:6" ht="12">
      <c r="A2726" s="190">
        <v>560205</v>
      </c>
      <c r="B2726" s="176" t="s">
        <v>2725</v>
      </c>
      <c r="C2726" s="165" t="s">
        <v>2656</v>
      </c>
      <c r="D2726" s="181" t="s">
        <v>2727</v>
      </c>
      <c r="E2726" s="121">
        <v>2170300</v>
      </c>
      <c r="F2726" s="120">
        <v>0</v>
      </c>
    </row>
    <row r="2727" spans="1:6" ht="12">
      <c r="A2727" s="190">
        <v>560205</v>
      </c>
      <c r="B2727" s="176" t="s">
        <v>2725</v>
      </c>
      <c r="C2727" s="164" t="s">
        <v>2660</v>
      </c>
      <c r="D2727" s="181" t="s">
        <v>2728</v>
      </c>
      <c r="E2727" s="121">
        <v>3007344</v>
      </c>
      <c r="F2727" s="120">
        <v>0</v>
      </c>
    </row>
    <row r="2728" spans="1:6" ht="12">
      <c r="A2728" s="190">
        <v>560205</v>
      </c>
      <c r="B2728" s="176" t="s">
        <v>2725</v>
      </c>
      <c r="C2728" s="164" t="s">
        <v>2666</v>
      </c>
      <c r="D2728" s="181" t="s">
        <v>2729</v>
      </c>
      <c r="E2728" s="121">
        <v>1121069</v>
      </c>
      <c r="F2728" s="120">
        <v>0</v>
      </c>
    </row>
    <row r="2729" spans="1:6" ht="12">
      <c r="A2729" s="190">
        <v>560205</v>
      </c>
      <c r="B2729" s="176" t="s">
        <v>2725</v>
      </c>
      <c r="C2729" s="165" t="s">
        <v>2662</v>
      </c>
      <c r="D2729" s="181" t="s">
        <v>2730</v>
      </c>
      <c r="E2729" s="121">
        <v>509577</v>
      </c>
      <c r="F2729" s="120">
        <v>0</v>
      </c>
    </row>
    <row r="2730" spans="1:6" ht="12">
      <c r="A2730" s="190">
        <v>560205</v>
      </c>
      <c r="B2730" s="176" t="s">
        <v>2725</v>
      </c>
      <c r="C2730" s="167" t="s">
        <v>2647</v>
      </c>
      <c r="D2730" s="181" t="s">
        <v>2731</v>
      </c>
      <c r="E2730" s="121">
        <v>835412</v>
      </c>
      <c r="F2730" s="120">
        <v>0</v>
      </c>
    </row>
    <row r="2731" spans="1:6" ht="12">
      <c r="A2731" s="190">
        <v>560205</v>
      </c>
      <c r="B2731" s="176" t="s">
        <v>2725</v>
      </c>
      <c r="C2731" s="167" t="s">
        <v>2650</v>
      </c>
      <c r="D2731" s="181" t="s">
        <v>2732</v>
      </c>
      <c r="E2731" s="121">
        <v>1928041</v>
      </c>
      <c r="F2731" s="120">
        <v>0</v>
      </c>
    </row>
    <row r="2732" spans="1:6" ht="12">
      <c r="A2732" s="190">
        <v>560205</v>
      </c>
      <c r="B2732" s="176" t="s">
        <v>2725</v>
      </c>
      <c r="C2732" s="164" t="s">
        <v>2668</v>
      </c>
      <c r="D2732" s="181" t="s">
        <v>2733</v>
      </c>
      <c r="E2732" s="121">
        <v>593133</v>
      </c>
      <c r="F2732" s="120">
        <v>0</v>
      </c>
    </row>
    <row r="2733" spans="1:6" ht="12">
      <c r="A2733" s="190">
        <v>560205</v>
      </c>
      <c r="B2733" s="176" t="s">
        <v>2725</v>
      </c>
      <c r="C2733" s="167" t="s">
        <v>2652</v>
      </c>
      <c r="D2733" s="181" t="s">
        <v>2734</v>
      </c>
      <c r="E2733" s="121">
        <v>1395073</v>
      </c>
      <c r="F2733" s="120">
        <v>0</v>
      </c>
    </row>
    <row r="2734" spans="1:6" ht="12">
      <c r="A2734" s="190">
        <v>560205</v>
      </c>
      <c r="B2734" s="176" t="s">
        <v>2725</v>
      </c>
      <c r="C2734" s="164" t="s">
        <v>2654</v>
      </c>
      <c r="D2734" s="181" t="s">
        <v>2735</v>
      </c>
      <c r="E2734" s="121">
        <v>459455</v>
      </c>
      <c r="F2734" s="120">
        <v>0</v>
      </c>
    </row>
    <row r="2735" spans="1:6" ht="12">
      <c r="A2735" s="190">
        <v>560205</v>
      </c>
      <c r="B2735" s="176" t="s">
        <v>2725</v>
      </c>
      <c r="C2735" s="165" t="s">
        <v>981</v>
      </c>
      <c r="D2735" s="181" t="s">
        <v>982</v>
      </c>
      <c r="E2735" s="121">
        <v>2176983</v>
      </c>
      <c r="F2735" s="120">
        <v>0</v>
      </c>
    </row>
    <row r="2736" spans="1:6" ht="12">
      <c r="A2736" s="190">
        <v>560205</v>
      </c>
      <c r="B2736" s="176" t="s">
        <v>2725</v>
      </c>
      <c r="C2736" s="164" t="s">
        <v>983</v>
      </c>
      <c r="D2736" s="181" t="s">
        <v>2736</v>
      </c>
      <c r="E2736" s="121">
        <v>1475269</v>
      </c>
      <c r="F2736" s="120">
        <v>0</v>
      </c>
    </row>
    <row r="2737" spans="1:6" ht="12.75" thickBot="1">
      <c r="A2737" s="193">
        <v>572080</v>
      </c>
      <c r="B2737" s="194" t="s">
        <v>2737</v>
      </c>
      <c r="C2737" s="195" t="s">
        <v>986</v>
      </c>
      <c r="D2737" s="196" t="s">
        <v>987</v>
      </c>
      <c r="E2737" s="134">
        <v>0</v>
      </c>
      <c r="F2737" s="135">
        <v>26192534</v>
      </c>
    </row>
  </sheetData>
  <sheetProtection password="8D25" sheet="1" formatCells="0" formatColumns="0" formatRows="0" insertColumns="0" insertRows="0" insertHyperlinks="0" deleteColumns="0" deleteRows="0" sort="0" autoFilter="0" pivotTables="0"/>
  <mergeCells count="4"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2008-09-15T14:47:33Z</dcterms:created>
  <dcterms:modified xsi:type="dcterms:W3CDTF">2008-09-16T17:10:17Z</dcterms:modified>
  <cp:category/>
  <cp:version/>
  <cp:contentType/>
  <cp:contentStatus/>
</cp:coreProperties>
</file>