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70" tabRatio="601" activeTab="3"/>
  </bookViews>
  <sheets>
    <sheet name="CGN96.001 " sheetId="1" r:id="rId1"/>
    <sheet name="BLCE.GRAL.CUENTA" sheetId="2" r:id="rId2"/>
    <sheet name="BLCE.GRAL.GRUPO" sheetId="3" r:id="rId3"/>
    <sheet name="GYP.CUENTA" sheetId="4" r:id="rId4"/>
    <sheet name="GYP GRUPO" sheetId="5" r:id="rId5"/>
    <sheet name="PATRIMONIO" sheetId="6" r:id="rId6"/>
  </sheets>
  <externalReferences>
    <externalReference r:id="rId9"/>
    <externalReference r:id="rId10"/>
    <externalReference r:id="rId11"/>
  </externalReferences>
  <definedNames>
    <definedName name="_xlnm.Print_Area" localSheetId="2">'BLCE.GRAL.GRUPO'!$A$1:$H$62</definedName>
    <definedName name="_xlnm.Print_Area" localSheetId="0">'CGN96.001 '!$A$1:$E$813</definedName>
    <definedName name="_xlnm.Print_Area" localSheetId="3">'GYP.CUENTA'!$A$1:$E$173</definedName>
    <definedName name="_xlnm.Print_Titles" localSheetId="1">'BLCE.GRAL.CUENTA'!$1:$10</definedName>
    <definedName name="_xlnm.Print_Titles" localSheetId="0">'CGN96.001 '!$1:$10</definedName>
    <definedName name="_xlnm.Print_Titles" localSheetId="3">'GYP.CUENTA'!$1:$9</definedName>
  </definedNames>
  <calcPr fullCalcOnLoad="1"/>
</workbook>
</file>

<file path=xl/sharedStrings.xml><?xml version="1.0" encoding="utf-8"?>
<sst xmlns="http://schemas.openxmlformats.org/spreadsheetml/2006/main" count="1463" uniqueCount="956">
  <si>
    <t>DEPARTAMENTO</t>
  </si>
  <si>
    <t>CUNDINAMARCA</t>
  </si>
  <si>
    <t xml:space="preserve"> </t>
  </si>
  <si>
    <t>Modelo: CGN-96-001</t>
  </si>
  <si>
    <t>MUNICIPIO</t>
  </si>
  <si>
    <t>BOGOTA D.C.</t>
  </si>
  <si>
    <t>ENTIDAD</t>
  </si>
  <si>
    <t>MINISTERIO DE EDUCACION NACIONAL</t>
  </si>
  <si>
    <t xml:space="preserve">CODIGO </t>
  </si>
  <si>
    <t>011300000</t>
  </si>
  <si>
    <t>FECHA DE CORTE</t>
  </si>
  <si>
    <t>VALORES MILES PESOS</t>
  </si>
  <si>
    <t>NOMBRE</t>
  </si>
  <si>
    <t>CORRIENTE</t>
  </si>
  <si>
    <t>NO CORRIENTE</t>
  </si>
  <si>
    <t>TOTAL SALDO</t>
  </si>
  <si>
    <t>ACTIVO</t>
  </si>
  <si>
    <t>EFECTIVO</t>
  </si>
  <si>
    <t>CAJA</t>
  </si>
  <si>
    <t>Caja Menor</t>
  </si>
  <si>
    <t>BANCOS Y CORPORACIONES</t>
  </si>
  <si>
    <t>Cuentas corrientes Bancarias</t>
  </si>
  <si>
    <t>Otros Depositos</t>
  </si>
  <si>
    <t>FONDOS ESPECIALES</t>
  </si>
  <si>
    <t>Cuenta Corriente Bancaria</t>
  </si>
  <si>
    <t>Cuentas de ahorro de valor constante</t>
  </si>
  <si>
    <t>INVERSIONES</t>
  </si>
  <si>
    <t>INVERSIONES ADMON DE LIQUIDEZ RENTA FIJA</t>
  </si>
  <si>
    <t xml:space="preserve">Titulos de Tesorería TES  </t>
  </si>
  <si>
    <t>Certificados de Depósito a Término</t>
  </si>
  <si>
    <t>INVERSIONES PATRIMONIALES CONTROLANTES</t>
  </si>
  <si>
    <t>En Sociedades de Economia Mixta</t>
  </si>
  <si>
    <t>En otras entidades de nivel territorial</t>
  </si>
  <si>
    <t>DEUDORES</t>
  </si>
  <si>
    <t>INGRESOS NO TRIBUTARIOS</t>
  </si>
  <si>
    <t>Otros deudores por ingresos no tributarios</t>
  </si>
  <si>
    <t>Escuelas Industriales e Institutos Técnicos</t>
  </si>
  <si>
    <t>Junta Central de Contadores</t>
  </si>
  <si>
    <t>PRESTAMOS CONCEDIDOS</t>
  </si>
  <si>
    <t>Otros prestamos concedidos</t>
  </si>
  <si>
    <t>AVANCES Y ANTICIPOS ENTREGADOS</t>
  </si>
  <si>
    <t>Anticipos sobre Convenios y Acuerdos</t>
  </si>
  <si>
    <t>Anticipos a entidades Oficiales</t>
  </si>
  <si>
    <t>Anticipos para Adquisición de Bienes y Servicios</t>
  </si>
  <si>
    <t>Anticipos para Proyectos de Inversión</t>
  </si>
  <si>
    <t>Otros Avances y Anticipos</t>
  </si>
  <si>
    <t>DEPOSITOS ENTREGADOS</t>
  </si>
  <si>
    <t>Depósitos Judiciales</t>
  </si>
  <si>
    <t>En administración</t>
  </si>
  <si>
    <t>OTROS DEUDORES</t>
  </si>
  <si>
    <t>Rendimiento de Inversion</t>
  </si>
  <si>
    <t>Embargos judiciales</t>
  </si>
  <si>
    <t>Otros Deudores</t>
  </si>
  <si>
    <t>PROVISION PARA DEUDORES CR</t>
  </si>
  <si>
    <t>Rentas Parafiscales</t>
  </si>
  <si>
    <t>Otros deudores</t>
  </si>
  <si>
    <t>PROPIEDADES PLANTA Y EQUIPO</t>
  </si>
  <si>
    <t>TERRENOS</t>
  </si>
  <si>
    <t>Urbanos</t>
  </si>
  <si>
    <t>Rurales</t>
  </si>
  <si>
    <t>CONSTRUCCIONES EN CURSO</t>
  </si>
  <si>
    <t>Redes, Líneas y Cables</t>
  </si>
  <si>
    <t>Otras construcciones en curso</t>
  </si>
  <si>
    <t>MAQUIN. PLANTA Y EQUIP.DE MON</t>
  </si>
  <si>
    <t>Equipo  de comuniación y comput.</t>
  </si>
  <si>
    <t>PROPIEDADES, PLANTA Y EQUIPO EN TRANSITO</t>
  </si>
  <si>
    <t>Equipo de Comunicación y Computación</t>
  </si>
  <si>
    <t>BIENES MUEBLES EN BODEGA</t>
  </si>
  <si>
    <t>Maquinaria y Equipo</t>
  </si>
  <si>
    <t>Equipo Médico y Científico</t>
  </si>
  <si>
    <t>Muebles, Enseres y Equipo de Oficina</t>
  </si>
  <si>
    <t>Equipo de transporte traccion elevacion</t>
  </si>
  <si>
    <t>Ajuste por inflacion</t>
  </si>
  <si>
    <t>EDIFICACIONES</t>
  </si>
  <si>
    <t>Edificios y Casas</t>
  </si>
  <si>
    <t>MAQUINARIA Y EQUIPO</t>
  </si>
  <si>
    <t>Equipo de Construcción</t>
  </si>
  <si>
    <t>Maquinaria Industrial</t>
  </si>
  <si>
    <t>Equipo de Música</t>
  </si>
  <si>
    <t>Equipo de Recreación y Deportes</t>
  </si>
  <si>
    <t>Armamento de Vigilancia</t>
  </si>
  <si>
    <t>Herramientas y Accesorios</t>
  </si>
  <si>
    <t>Otros maquinaria y equipo</t>
  </si>
  <si>
    <t>EQUIPO MEDICO Y CIENTIFICO</t>
  </si>
  <si>
    <t>Equipo de Urgencias</t>
  </si>
  <si>
    <t>MUEBLES ENSERES Y EQUIPOS DE OFICINA</t>
  </si>
  <si>
    <t>Muebles y Enseres</t>
  </si>
  <si>
    <t>Equipos y Maquinas de Oficina</t>
  </si>
  <si>
    <t>Otros muebles enseres y equipo de oficina</t>
  </si>
  <si>
    <t>Ajuste por inflación</t>
  </si>
  <si>
    <t>EQUIPOS DE COMUNICACION Y COMPUTACION</t>
  </si>
  <si>
    <t>Equipos de Comunicación</t>
  </si>
  <si>
    <t>Equipos de Computación</t>
  </si>
  <si>
    <t>líneas telefónicas</t>
  </si>
  <si>
    <t>Otros equipos comunicación y computación</t>
  </si>
  <si>
    <t>Ajuste por  inflacion</t>
  </si>
  <si>
    <t>EQUIP DE TRANS, TRACCION Y ELEVA.</t>
  </si>
  <si>
    <t>Terrestre</t>
  </si>
  <si>
    <t>EQ.COMEDOR COCINA DESPENSA Y HOTELERIA</t>
  </si>
  <si>
    <t>Maquinaria y Equipo de Restaurante y caf</t>
  </si>
  <si>
    <t>DEPRECIACION ACUMULADA CR</t>
  </si>
  <si>
    <t>Edificaciones</t>
  </si>
  <si>
    <t>Equipo Cientifico</t>
  </si>
  <si>
    <t>Muebles y Enseres y Equipo de Oficina</t>
  </si>
  <si>
    <t>Equipo de Transp. Tracc. y Elevación</t>
  </si>
  <si>
    <t>Equipo de comerdor cocina despensa y hoteleriá</t>
  </si>
  <si>
    <t>OTROS ACTIVOS</t>
  </si>
  <si>
    <t>Arrendamientos</t>
  </si>
  <si>
    <t>Impresos, publicaciones, suscipciones y afiliaciones</t>
  </si>
  <si>
    <t>Mantenimiento</t>
  </si>
  <si>
    <t>Otros Gastos Pagados por Anticipado</t>
  </si>
  <si>
    <t>CARGOS DIFERIDOS</t>
  </si>
  <si>
    <t>Materiales y Suministros</t>
  </si>
  <si>
    <t>Material Quirúrgico</t>
  </si>
  <si>
    <t>Dotación a Trabajadores</t>
  </si>
  <si>
    <t>Estudios y Proyectos</t>
  </si>
  <si>
    <t>Gastos de Desarrollo</t>
  </si>
  <si>
    <t>Combustibles y Lubricantes</t>
  </si>
  <si>
    <t>Capacitación, Bienestar Social y Estímulos</t>
  </si>
  <si>
    <t>Otros Cargos Diferidos</t>
  </si>
  <si>
    <t>INVERSION SOCIAL DIFERIDA</t>
  </si>
  <si>
    <t>Educación arte y Cultura</t>
  </si>
  <si>
    <t>BIENES ENTREGADOS A TERCEROS</t>
  </si>
  <si>
    <t>Bienes Muebles en Comodato</t>
  </si>
  <si>
    <t>AMORTIZ.  ACUM, BS. ENTREG. TERC. (CR)</t>
  </si>
  <si>
    <t>Ajustes por inflación</t>
  </si>
  <si>
    <t>RESPONSABILIDADES</t>
  </si>
  <si>
    <t>Responsabilidades Fiscales</t>
  </si>
  <si>
    <t>Responsabilidades en Proceso Internas</t>
  </si>
  <si>
    <t>Responsabilidades en Procesos - Autoridad Competente</t>
  </si>
  <si>
    <t>PROV. PARA RESPONSABILIDADES  (CR)</t>
  </si>
  <si>
    <t>Responsabilidades en Proceso</t>
  </si>
  <si>
    <t>BIENES DE ARTE Y CULTURA</t>
  </si>
  <si>
    <t>Libros y publicaicones de inves y consul</t>
  </si>
  <si>
    <t>Ajustes por Inflación</t>
  </si>
  <si>
    <t>PROV. BIENES DE ARTE Y CULTURA</t>
  </si>
  <si>
    <t>INTANGIBLES</t>
  </si>
  <si>
    <t>Licencias</t>
  </si>
  <si>
    <t>Software</t>
  </si>
  <si>
    <t>AMORTIZACION ACUMULADA INTANGIBLES</t>
  </si>
  <si>
    <t>PRINCIPAL Y SUBALTERNA</t>
  </si>
  <si>
    <t>Fondos transferidos</t>
  </si>
  <si>
    <t>BIENES Y DERECHOS EN INVESTIGACION ADTIVA</t>
  </si>
  <si>
    <t>Bancos y Corporaciones</t>
  </si>
  <si>
    <t>PROV. PARA BIENES Y DERECHOS EN INVEST. ADTIVA</t>
  </si>
  <si>
    <t>PASIVO</t>
  </si>
  <si>
    <t>OPERACIONES DE CREDITO PUBLICO</t>
  </si>
  <si>
    <t>PRESTAMOS GUBERNAMENTALES DE LARGO PLAZO</t>
  </si>
  <si>
    <t>Préstamos al Gobierno General Nacional</t>
  </si>
  <si>
    <t>CUENTAS POR PAGAR</t>
  </si>
  <si>
    <t>ADQUISICION DE BIENES Y SERVICIOS</t>
  </si>
  <si>
    <t>Bienes y servicios</t>
  </si>
  <si>
    <t>Proyectos de Inversión</t>
  </si>
  <si>
    <t>TRANSFERENCIAS</t>
  </si>
  <si>
    <t>Transferencias por convenios con el sec priv</t>
  </si>
  <si>
    <t>Corrientes al Gobierno General</t>
  </si>
  <si>
    <t>Transferencias Corrientes a las empresa no financieras</t>
  </si>
  <si>
    <t>Situado Fiscal</t>
  </si>
  <si>
    <t>Transferencias de Capital al gobierno central</t>
  </si>
  <si>
    <t>Transferencias giradas al Exterior</t>
  </si>
  <si>
    <t>Sistema general de participación</t>
  </si>
  <si>
    <t>ACREEDORES</t>
  </si>
  <si>
    <t>Comisiones honorarios y servicios</t>
  </si>
  <si>
    <t>Servicios públicos</t>
  </si>
  <si>
    <t>Viáticos y Gastos de Viaje</t>
  </si>
  <si>
    <t>Seguros</t>
  </si>
  <si>
    <t>Saldos a favor de beneficiarios</t>
  </si>
  <si>
    <t>Aportes a fondos pensionales</t>
  </si>
  <si>
    <t>Aportes a seguridad social</t>
  </si>
  <si>
    <t>Aportes al ICBF SENA CAJAS DE COMP.</t>
  </si>
  <si>
    <t>Sindicatos</t>
  </si>
  <si>
    <t>Cooperativas</t>
  </si>
  <si>
    <t>Fondos de Empleados</t>
  </si>
  <si>
    <t>Embargos Judiciales</t>
  </si>
  <si>
    <t>Riesgos profesionales</t>
  </si>
  <si>
    <t>Fondos de Solidaridad y Garantia en salud</t>
  </si>
  <si>
    <t>Libranzas</t>
  </si>
  <si>
    <t>Aportes a esc inds ints tecnicos y Esap</t>
  </si>
  <si>
    <t>Otros Acreedores</t>
  </si>
  <si>
    <t>SUBSIDIOS ASIGNADOS</t>
  </si>
  <si>
    <t>Educación</t>
  </si>
  <si>
    <t>RETENCION EN LA FUENTE E IMTPS DE TIMBRE</t>
  </si>
  <si>
    <t>Salarios y pagos laborales</t>
  </si>
  <si>
    <t>Sentencias y Conciliaciones</t>
  </si>
  <si>
    <t>Honorarios</t>
  </si>
  <si>
    <t>Comisiones</t>
  </si>
  <si>
    <t>Rendimiento financieros</t>
  </si>
  <si>
    <t>Compras</t>
  </si>
  <si>
    <t>Pagos al Exterior</t>
  </si>
  <si>
    <t>RETENCION DE IMPUESTO INDU CIO POR PAG ICA</t>
  </si>
  <si>
    <t>Retención por compras</t>
  </si>
  <si>
    <t>IMPUESTOS CONTRIBUCIONES Y TASAS ´POR P.</t>
  </si>
  <si>
    <t>Predial Unificado</t>
  </si>
  <si>
    <t>Valorización</t>
  </si>
  <si>
    <t>Impuestos sobre vehiculos automotores</t>
  </si>
  <si>
    <t>Otros Impuestos</t>
  </si>
  <si>
    <t>CREDITOS JUDICIALES</t>
  </si>
  <si>
    <t>OBLIGACIONES LABORALES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</si>
  <si>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</si>
  <si>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</si>
  <si>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</si>
  <si>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</si>
  <si>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</si>
  <si>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</si>
  <si>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</si>
  <si>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</si>
  <si>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PASIVOS ESTIMADOS</t>
  </si>
  <si>
    <t>PROVISION PARA CONTINGENCIAS</t>
  </si>
  <si>
    <t>Litigios o demandas</t>
  </si>
  <si>
    <t>PROVISIÓN PARA PRESTACIONES SOCIALES</t>
  </si>
  <si>
    <t>OTROS PASIVOS</t>
  </si>
  <si>
    <t>INGRESOS RECIBIDOS POR ANTICIPADO</t>
  </si>
  <si>
    <t>Otros Ingresos recibidos por anticipado</t>
  </si>
  <si>
    <t>PATRIMONIO</t>
  </si>
  <si>
    <t>HACIENDA PUBLICA</t>
  </si>
  <si>
    <t>CAPITAL FISCAL</t>
  </si>
  <si>
    <t>De la Nación</t>
  </si>
  <si>
    <t>RESULTADO DEL EJERCICIO</t>
  </si>
  <si>
    <t>Excedente del Ejercicio</t>
  </si>
  <si>
    <t>Déficit del Ejercicio</t>
  </si>
  <si>
    <t>SUPERAVIT POR VALORIZACION</t>
  </si>
  <si>
    <t>Propiedad planta y equipo</t>
  </si>
  <si>
    <t xml:space="preserve">SUPERAVIT POR METODO DE PARTIC </t>
  </si>
  <si>
    <t>En Entidades Desentralizadas del Gobierno General</t>
  </si>
  <si>
    <t>En otras entidades del nivel territorial</t>
  </si>
  <si>
    <t>SUPERAVIT POR DONACION</t>
  </si>
  <si>
    <t>En Dinero</t>
  </si>
  <si>
    <t>En Especie</t>
  </si>
  <si>
    <t>PATRIMONIO PUBLICO INCORPORADO</t>
  </si>
  <si>
    <t>Inventarios</t>
  </si>
  <si>
    <t>Otros Activos</t>
  </si>
  <si>
    <t>REVALORIZACION HACIENDA PUBLICA</t>
  </si>
  <si>
    <t>Capital Fiscal</t>
  </si>
  <si>
    <t>Superavit por Donación</t>
  </si>
  <si>
    <t>AJUSTES POR INFLACION</t>
  </si>
  <si>
    <t>Otros activos</t>
  </si>
  <si>
    <t>Patrimonio</t>
  </si>
  <si>
    <t>Depreciacion acumulada DB</t>
  </si>
  <si>
    <t>amortizacion acumulada DB</t>
  </si>
  <si>
    <t>INGRESOS</t>
  </si>
  <si>
    <t>INGRESOS FISCALES</t>
  </si>
  <si>
    <t>NO TRIBUTARIOS</t>
  </si>
  <si>
    <t>Tasas</t>
  </si>
  <si>
    <t>Multas</t>
  </si>
  <si>
    <t>Pliegos de licitaciones</t>
  </si>
  <si>
    <t>Otros Ingresos no tributarios</t>
  </si>
  <si>
    <t>INGRESOS POR FONDOS ESPECIALES</t>
  </si>
  <si>
    <t>Escuelas Industriales e Inst. Técnicos Ley 21/82</t>
  </si>
  <si>
    <t>DEVOLUCIONES Y DESCUENTOS</t>
  </si>
  <si>
    <t>Ingresos no tributarios</t>
  </si>
  <si>
    <t>Ingresos por Fondos Especiales</t>
  </si>
  <si>
    <t>TRANSFERENCIAS RECIBIDAS</t>
  </si>
  <si>
    <t>Nacional Admon Central</t>
  </si>
  <si>
    <t>OPERACIONES INTERINSTITUCIONALES</t>
  </si>
  <si>
    <t>APORTES Y TRANSPASOS DE FONDOS RECIBIDOS</t>
  </si>
  <si>
    <t>Gastos de Personal</t>
  </si>
  <si>
    <t>Gastos Generales</t>
  </si>
  <si>
    <t>Programas de Inversión</t>
  </si>
  <si>
    <t>Transferencias Corrientes</t>
  </si>
  <si>
    <t>Transferencias de capital</t>
  </si>
  <si>
    <t>OPERACIONES DE ENLACE CON SITUACION F.</t>
  </si>
  <si>
    <t>Recursos de Crédito Externo</t>
  </si>
  <si>
    <t>Otros Recursos de Capital</t>
  </si>
  <si>
    <t>OPERACIONES DE ENLACE SIN SITUACION DE FONDOS</t>
  </si>
  <si>
    <t>Cuota de Auditaje</t>
  </si>
  <si>
    <t>Desembolso de crédito externo no monetizado</t>
  </si>
  <si>
    <t>Otras Operaciones de enlace sin situación de Fondos</t>
  </si>
  <si>
    <t>OPERACIONES DE TRASP.DE BIENES DERECHOS</t>
  </si>
  <si>
    <t>Bienes Recibidos</t>
  </si>
  <si>
    <t>OTROS INGRESOS</t>
  </si>
  <si>
    <t>FINANCIEROS</t>
  </si>
  <si>
    <t>Intereses y rendimientos de deudores</t>
  </si>
  <si>
    <t>Intereses  sobre depósitos</t>
  </si>
  <si>
    <t>Utilidad por Valoración a precios de Mdo</t>
  </si>
  <si>
    <t>Utilidad por inversiones renta fija sector financiero</t>
  </si>
  <si>
    <t>Otros ingresos financieros</t>
  </si>
  <si>
    <t>UTILIDAD POR EL METODO DE PARTICIPACION PATRIM.</t>
  </si>
  <si>
    <t>Participaciones en Entres Vinculados o subordinados</t>
  </si>
  <si>
    <t>EXTRAORDINARIOS</t>
  </si>
  <si>
    <t>Utilidad en venta de activos</t>
  </si>
  <si>
    <t>Sobrantes</t>
  </si>
  <si>
    <t>Recuperaciones</t>
  </si>
  <si>
    <t>Venta de Pliegos</t>
  </si>
  <si>
    <t>servicios</t>
  </si>
  <si>
    <t>Reintegros vigencias anteriores</t>
  </si>
  <si>
    <t>Otros Ingresos extraordinarios</t>
  </si>
  <si>
    <t>AJUSTE DE EJERCICIOS ANTERIORES</t>
  </si>
  <si>
    <t>No tributarios</t>
  </si>
  <si>
    <t>Financieros</t>
  </si>
  <si>
    <t>Extrardinarios</t>
  </si>
  <si>
    <t>GASTOS</t>
  </si>
  <si>
    <t>ADMINISTRACON</t>
  </si>
  <si>
    <t>SUELDOS Y SALARIOS</t>
  </si>
  <si>
    <t>Sueldos de Personal</t>
  </si>
  <si>
    <t>Jornales</t>
  </si>
  <si>
    <t>Horas Extras y Festivos</t>
  </si>
  <si>
    <t>Gastos de Representación</t>
  </si>
  <si>
    <t>Remuneraciion Servicios Técnicos</t>
  </si>
  <si>
    <t>Personal Supernumerario</t>
  </si>
  <si>
    <t>Prima Técnica</t>
  </si>
  <si>
    <t>Prima de Dirección</t>
  </si>
  <si>
    <t>Prima Especial de Servicios</t>
  </si>
  <si>
    <t>Prima de vacaciones</t>
  </si>
  <si>
    <t>Prima de navidad</t>
  </si>
  <si>
    <t>Primas Extraordinarias</t>
  </si>
  <si>
    <t>Bonificacion Especial de recreación</t>
  </si>
  <si>
    <t>Subsidio Familiar</t>
  </si>
  <si>
    <t>Auxilio de Transporte</t>
  </si>
  <si>
    <t>Capacitación Bienestar social y estímulos</t>
  </si>
  <si>
    <t>Dotación y suministro a trabajadores</t>
  </si>
  <si>
    <t>Gastos deportivo y  recreación</t>
  </si>
  <si>
    <t>Bonificación Por servicios prestados</t>
  </si>
  <si>
    <t>Prima de servicios</t>
  </si>
  <si>
    <t>Subsidio de alimentaciòn</t>
  </si>
  <si>
    <t>Otros Sueldos y salarios</t>
  </si>
  <si>
    <t>CONTRIBUCIONES IMPUTADAS</t>
  </si>
  <si>
    <t>Indemnizaciones</t>
  </si>
  <si>
    <t>Cuotas partes de pensión jubilación</t>
  </si>
  <si>
    <t>CONTRIBUCIONES EFECTIVAS</t>
  </si>
  <si>
    <t>Aportes de cajas de compensacion familiar</t>
  </si>
  <si>
    <t>Aportes a seguridad social en salud</t>
  </si>
  <si>
    <t>cotizaciones a riesgos profesionales</t>
  </si>
  <si>
    <t>Cotizaciones a Entidades Administradoras del régimen de Prima media</t>
  </si>
  <si>
    <t>Cotizaciones a Entidades Administradoras del régimen de ahorro indiv</t>
  </si>
  <si>
    <t>Otras Contribuciones efectivas</t>
  </si>
  <si>
    <t>APORTES SOBRE LA NOMINA</t>
  </si>
  <si>
    <t>Aportes al ICBF</t>
  </si>
  <si>
    <t>Aportes al SENA</t>
  </si>
  <si>
    <t>Aportes ESAP</t>
  </si>
  <si>
    <t>Aportes a escuelas Industriales e Institutos Técnicos</t>
  </si>
  <si>
    <t>GENERALES</t>
  </si>
  <si>
    <t>Elementos de lenceria</t>
  </si>
  <si>
    <t>Loza y Cristalería</t>
  </si>
  <si>
    <t>Comisiones, honorarios y servicios</t>
  </si>
  <si>
    <t>Vigilancia y Seguridad</t>
  </si>
  <si>
    <t>Materiales y suministros</t>
  </si>
  <si>
    <t>Reparaciones</t>
  </si>
  <si>
    <t>Víaticos y gastos de viaje</t>
  </si>
  <si>
    <t>Publicidad y propaganda</t>
  </si>
  <si>
    <t>Impresos publicaciones suscripciones y afiliacionhes</t>
  </si>
  <si>
    <t>Comunicación y transporte</t>
  </si>
  <si>
    <t>Seguros Generales</t>
  </si>
  <si>
    <t>Diseños y Estudios</t>
  </si>
  <si>
    <t>Seguridad Industrial</t>
  </si>
  <si>
    <t>Combustibles y lubricantes</t>
  </si>
  <si>
    <t>Servicios Aseo cafetería y restaurante</t>
  </si>
  <si>
    <t>Procesamiento de información</t>
  </si>
  <si>
    <t>Organización de Eventos</t>
  </si>
  <si>
    <t>Elementos de Aseo, Lavanderia  y Cafetería</t>
  </si>
  <si>
    <t>Otros gastos generales</t>
  </si>
  <si>
    <t>IMPUESTOS CONTRIBUCIONES Y TASAS</t>
  </si>
  <si>
    <t>Cuota de Fiscalización y auditaje</t>
  </si>
  <si>
    <t>Contribución sobre Transacciones Financieras</t>
  </si>
  <si>
    <t>Industria y comercio</t>
  </si>
  <si>
    <t>Otros impuestos y contribuciones</t>
  </si>
  <si>
    <t>PROVISIONES AGOTAMIENTO DEPREC AMORTIZACIONES</t>
  </si>
  <si>
    <t>PROVISION PARA DEUDORES</t>
  </si>
  <si>
    <t>PROVISONES PARA RESPONSABILIDADES</t>
  </si>
  <si>
    <t>Litigios o Demandas</t>
  </si>
  <si>
    <t>DEPRECIACIONES DE PROPIEDADES PLANTA Y EQUIPO</t>
  </si>
  <si>
    <t>Equipo médico y científico</t>
  </si>
  <si>
    <t>Muebles enseres y equipo de Oficina</t>
  </si>
  <si>
    <t>Equipos de Comunicación y Computación</t>
  </si>
  <si>
    <t>Equipo de Transporte Tracción y elevación</t>
  </si>
  <si>
    <t>Equipo de comedor cocina despensa y hotelería</t>
  </si>
  <si>
    <t>AMORTIZACION DE BIENES ENTREGADOS A TERCEROS</t>
  </si>
  <si>
    <t>AMORTIZACION DE INTANGIBLES</t>
  </si>
  <si>
    <t>TRANSFERENCIAS GIRADAS</t>
  </si>
  <si>
    <t>POR CONVENIOS CON EL SECTOR PRIVADO</t>
  </si>
  <si>
    <t>Programas con el sector financiero</t>
  </si>
  <si>
    <t>Programas con el sector no financiero bajo control nacional</t>
  </si>
  <si>
    <t>Programas con el sector no financietro bajo control extranjero</t>
  </si>
  <si>
    <t>Programs con entidades sin fines de lucro</t>
  </si>
  <si>
    <t>Otros programas</t>
  </si>
  <si>
    <t>CORRIENTES AL GOBIERNO GENERAL</t>
  </si>
  <si>
    <t>Nacional Administración Central</t>
  </si>
  <si>
    <t>A los establecmientos publicos</t>
  </si>
  <si>
    <t>Nacional Admminsstracion descentralizada</t>
  </si>
  <si>
    <t>Nacional -Administración Descentralizada-Entes Aut.</t>
  </si>
  <si>
    <t>Nacional Administración desc. Entes sin fines de lucro</t>
  </si>
  <si>
    <t>Nacional - otros Entes Descentralizacos Nacionlaes</t>
  </si>
  <si>
    <t>Departamental- Administración Central</t>
  </si>
  <si>
    <t>Departamental-Administración Descentralizada-</t>
  </si>
  <si>
    <t>Departamental Adminstr. Descentra. Entes</t>
  </si>
  <si>
    <t>Departamental Adminstr. Descentra. Entes sin fines de lucro</t>
  </si>
  <si>
    <t>Departamental- otros entes descentralizados departamentales</t>
  </si>
  <si>
    <t>Distrital-Administración Central</t>
  </si>
  <si>
    <t>Distrital-Administración Descentralizada - Entes Autonomos</t>
  </si>
  <si>
    <t>Al Gobierno General Otros Niveles Territoriales</t>
  </si>
  <si>
    <t>Otras Transferencias Corrientes Giradas Al Gobierno Gral</t>
  </si>
  <si>
    <t>CORRIENTES A LAS EMPRESAS</t>
  </si>
  <si>
    <t>No financieras nacionales e industriales</t>
  </si>
  <si>
    <t>No financieras nacionales sociedades</t>
  </si>
  <si>
    <t>No financieras nacionales</t>
  </si>
  <si>
    <t>Nofinancieras Nacionales otras</t>
  </si>
  <si>
    <t>Otras Transferencias Corrientes Giradas a las empresas</t>
  </si>
  <si>
    <t>SITUADO FISCAL</t>
  </si>
  <si>
    <t>Al sector Educación Departamental</t>
  </si>
  <si>
    <t>Al sector Edcuación Distrital</t>
  </si>
  <si>
    <t>SISTEMA GENERAL DE PARTICIPACION</t>
  </si>
  <si>
    <t>Al Sector Educación Departamentales</t>
  </si>
  <si>
    <t xml:space="preserve">Municipios              </t>
  </si>
  <si>
    <t>Al Sector Educación Distrital</t>
  </si>
  <si>
    <t>Entidades Territoriales Indígenas</t>
  </si>
  <si>
    <t>DE CAPITAL AL GOBIERNO CENTRAL</t>
  </si>
  <si>
    <t>Nacional-Administración Descentralizada-Entes Aut.</t>
  </si>
  <si>
    <t>Nacional Otros Entes descentralizados</t>
  </si>
  <si>
    <t>Municipal-Administración Central</t>
  </si>
  <si>
    <t>TRANSFERENCIAS GIRADAS AL EXTERIOR</t>
  </si>
  <si>
    <t>A organismos internacionales</t>
  </si>
  <si>
    <t>GASTO SOCIAL</t>
  </si>
  <si>
    <t>EDUCACION</t>
  </si>
  <si>
    <t>Asignación de bienes y servicios</t>
  </si>
  <si>
    <t>Para Edcuación</t>
  </si>
  <si>
    <t>GASTO DE INVERSION SOCIAL</t>
  </si>
  <si>
    <t>ADUCACION, ARTE,CULTURA,REC.Y DEP.</t>
  </si>
  <si>
    <t>APORTES Y TRANSPASOS DE FONDOS GIRADOS</t>
  </si>
  <si>
    <t>Gastos de personal</t>
  </si>
  <si>
    <t>Transferencias corrientes</t>
  </si>
  <si>
    <t>otros</t>
  </si>
  <si>
    <t>OPERACIONES DE ENLACE CON SITUACION DE FONODS</t>
  </si>
  <si>
    <t>Recauos DTN por reclasificar</t>
  </si>
  <si>
    <t>OPERACIÓN DE ENLACE SIN SITUACION DE FONDOS</t>
  </si>
  <si>
    <t>OPERACIONES DE TRASPASO DE B. Y D.</t>
  </si>
  <si>
    <t>Bienes Transferidos</t>
  </si>
  <si>
    <t>OTROS GASTOS</t>
  </si>
  <si>
    <t>Comisiones y otros gastos bancarios</t>
  </si>
  <si>
    <t>otros gtos financieros</t>
  </si>
  <si>
    <t>Donaciones</t>
  </si>
  <si>
    <t>Provisión para Deudores</t>
  </si>
  <si>
    <t>Provisión para Contingencias</t>
  </si>
  <si>
    <t>Depreciación de Maquinaria y Equipo</t>
  </si>
  <si>
    <t>Depreciación  de Muebles, Enseres y Equip. De Ofic.</t>
  </si>
  <si>
    <t>Depreciación de Equipo de Comunicación y Comp.</t>
  </si>
  <si>
    <t>Depreciación Equipo de Transporte Tracción y Elevación</t>
  </si>
  <si>
    <t>Transferencias por Convenios con el Sector Privado</t>
  </si>
  <si>
    <t>CIERRE DE INGRESOS, GASTOS Y COSTOS</t>
  </si>
  <si>
    <t>Cierre de ingresos,gastos y costos</t>
  </si>
  <si>
    <t>CUENTAS DE ORDEN DEUDORAS</t>
  </si>
  <si>
    <t>DEUDORAS DE CONTROL</t>
  </si>
  <si>
    <t>ACITIVOS TOTALMENTE DEPRE AGOT O AMORTIZADOS</t>
  </si>
  <si>
    <t>Intangibles</t>
  </si>
  <si>
    <t>Otros Bienes y Derechos en Investig. Adtiva</t>
  </si>
  <si>
    <t>OTRAS CUENTAS DEUDORAS DE CONTROL</t>
  </si>
  <si>
    <t>Otras cuentas deudora de control</t>
  </si>
  <si>
    <t>DEUDORAS POR EL CONTRA CR</t>
  </si>
  <si>
    <t>DEUDORAS CONTROL POR EL CONTR  CR</t>
  </si>
  <si>
    <t>Activos Totalmente Depreciados Agotados o amortizados</t>
  </si>
  <si>
    <t>Bienes y Derechos en Invesitig. Administrativa</t>
  </si>
  <si>
    <t>otras cuentas deudoras de control</t>
  </si>
  <si>
    <t>CUENTA DE ORDEN ACREEDORAS</t>
  </si>
  <si>
    <t>RESPONSABILIDADES CONTINGENTES</t>
  </si>
  <si>
    <t>LIITIGIOS Y DEMANDAS</t>
  </si>
  <si>
    <t>Lborales</t>
  </si>
  <si>
    <t>RESERVAS PRESUPUESTALES</t>
  </si>
  <si>
    <t>Reservas Prespuestales SIIF</t>
  </si>
  <si>
    <t>OTRAS RESPONSABILIDADES CONTINGENTES</t>
  </si>
  <si>
    <t>Otras responsabilidades contingentes</t>
  </si>
  <si>
    <t>ACREEDORAS DE CONTROL</t>
  </si>
  <si>
    <t>OTRAS CUENTAS ACREEDORAS DE CONTROL</t>
  </si>
  <si>
    <t>Anticipos y Fondos en Administración</t>
  </si>
  <si>
    <t>Otras cuentas acreedoras de control</t>
  </si>
  <si>
    <t>ACREEDORAS POR EL CONTR  (db)</t>
  </si>
  <si>
    <t>ACREEDORAS DE CONTROL POR EL CONTR    DB</t>
  </si>
  <si>
    <t>litigios y demandas</t>
  </si>
  <si>
    <t>Resevas presupuestales SIIF</t>
  </si>
  <si>
    <t>CUENTAS DE PLANEACION Y PRESUPUESTO</t>
  </si>
  <si>
    <t>PRESUPUESTO DE GASTO DE LA VIGENCIA</t>
  </si>
  <si>
    <t>GASTOS APROBADOS CR</t>
  </si>
  <si>
    <t>Servicios Personales Asociados a la nómina</t>
  </si>
  <si>
    <t>Servicios personales indirectos</t>
  </si>
  <si>
    <t>Contribuciones inherentes a nómina sector provado</t>
  </si>
  <si>
    <t>Contribuciones inherentes a nómina sector público</t>
  </si>
  <si>
    <t>Adquisición de bienes</t>
  </si>
  <si>
    <t>Adquisición de Servicios</t>
  </si>
  <si>
    <t>Impuestos y multas</t>
  </si>
  <si>
    <t>Situado fiscal</t>
  </si>
  <si>
    <t>030520</t>
  </si>
  <si>
    <t>Transferencias Nacionales</t>
  </si>
  <si>
    <t>Transferencias emp financieras nacional</t>
  </si>
  <si>
    <t>Transferencias a otras entidades públicas de orden territorial</t>
  </si>
  <si>
    <t>Transferencias a organismos internacionales</t>
  </si>
  <si>
    <t>Otras transferencias de previsión y seguridad social</t>
  </si>
  <si>
    <t>Transferencias po convenios con el sector privado</t>
  </si>
  <si>
    <t>Otrans transferencias por sentencias y conciliaciones</t>
  </si>
  <si>
    <t>Otras transferencia</t>
  </si>
  <si>
    <t>Inversión Sector Educación</t>
  </si>
  <si>
    <t>particpacion para eduación</t>
  </si>
  <si>
    <t>GASTOS POR EJECUTAR DB</t>
  </si>
  <si>
    <t>Transferencias por convenios con el sector privado</t>
  </si>
  <si>
    <t>Otras transferencias por sentencias y conciliaciones</t>
  </si>
  <si>
    <t>Inversión  sector educación</t>
  </si>
  <si>
    <t>CERTIFICADOS DE DISPON EXPEDIDOS DB</t>
  </si>
  <si>
    <t>Contiribuaciones inherentes a la nómina del sector privado</t>
  </si>
  <si>
    <t>Contibuciones inherentes a la nómina del sector público</t>
  </si>
  <si>
    <t>Impuestos, Multas y Contribuciones</t>
  </si>
  <si>
    <t>Transferencias a empresas no financieras Nacionales</t>
  </si>
  <si>
    <t>Transferencias a otras intidades publicas de orden nacional</t>
  </si>
  <si>
    <t>Transferencias a organismios internacionales</t>
  </si>
  <si>
    <t>Inversión Sector educación</t>
  </si>
  <si>
    <t>GASTOS COMPROMETIDOS DB</t>
  </si>
  <si>
    <t>Contribuciones inherentes a la nómina sector priv.</t>
  </si>
  <si>
    <t>Contribuciones inherentes a la nómina sector publ.</t>
  </si>
  <si>
    <t>Adquisición de servicios</t>
  </si>
  <si>
    <t>Situado Fiscal Educación</t>
  </si>
  <si>
    <t>Transferencias Empresas no financieras nacionales</t>
  </si>
  <si>
    <t>Transferencias a otras Ent.Públicas del orden t.</t>
  </si>
  <si>
    <t>Otras transf. de previsión y seguridad social</t>
  </si>
  <si>
    <t>Otras transf. por sentencias y conciliaciones</t>
  </si>
  <si>
    <t>Otras transferencias</t>
  </si>
  <si>
    <t>OBLIGACIONES CONTRAIDAS DB</t>
  </si>
  <si>
    <t>Contribuciones inherentes a nómina sector privado</t>
  </si>
  <si>
    <t>Impuestos multas y contribuciones</t>
  </si>
  <si>
    <t>Otras trasnferencias por sentencias y conciliaciones</t>
  </si>
  <si>
    <t>PAGOS DE LA VIGENCIA DB</t>
  </si>
  <si>
    <t>Adqusición de servicios</t>
  </si>
  <si>
    <t>Inversión sector Educación</t>
  </si>
  <si>
    <t>RESERVAS PRESUPUESTALES CONSTITUI CR</t>
  </si>
  <si>
    <t>RESERVAS PRESUPUESTALES POR EJEC DB</t>
  </si>
  <si>
    <t>Transferencias de Capital</t>
  </si>
  <si>
    <t>OBLIGACIONES CONTRAIDAS POR RESERVAS</t>
  </si>
  <si>
    <t>RESERVAS PRESUPUESTALES PAGADAS</t>
  </si>
  <si>
    <t>PLAN PLURIANUAL DE INVERSIONES APROBADO (CR)</t>
  </si>
  <si>
    <t>SECTOR EDUCACION</t>
  </si>
  <si>
    <t>CONSTRUCCION, ADQUISICION, MEJORAMIENTO INFRA.</t>
  </si>
  <si>
    <t>PLAN PLURIANUAL DE INVERSIONES APROBADO (DB)</t>
  </si>
  <si>
    <t>CECILIA MARIA VELEZ WHITE</t>
  </si>
  <si>
    <t>NOHEMY ARIAS OTERO</t>
  </si>
  <si>
    <t>MINISTRA DE EDUCACION NACIONAL</t>
  </si>
  <si>
    <t>SECRETARIA GENERAL</t>
  </si>
  <si>
    <t>VALORIZACIONES</t>
  </si>
  <si>
    <t>Muebles, enseres y Equipo de Oficina</t>
  </si>
  <si>
    <t>Equipo de Transporte, Tracción y Elevación</t>
  </si>
  <si>
    <t>Equipos de Comedor, Cocina, Despensa y Hoteleria</t>
  </si>
  <si>
    <t>Servicios</t>
  </si>
  <si>
    <t>Contribuciones</t>
  </si>
  <si>
    <t>Transferencias Corrientes de Gobierno General</t>
  </si>
  <si>
    <t>Prima de Coordinación</t>
  </si>
  <si>
    <t>SALUD</t>
  </si>
  <si>
    <t>Sueldos y Salarios</t>
  </si>
  <si>
    <t>Servicio Deduda Interna</t>
  </si>
  <si>
    <t>Servicios Personales</t>
  </si>
  <si>
    <t xml:space="preserve">CONTADOR PUBLICO </t>
  </si>
  <si>
    <t>Fondos Recibidos</t>
  </si>
  <si>
    <t>Derechos Transferidos</t>
  </si>
  <si>
    <t>Derechos Recibidos</t>
  </si>
  <si>
    <t>Publicaciones</t>
  </si>
  <si>
    <t>Edificaciones Urbanas</t>
  </si>
  <si>
    <t>Servicios Transferidos</t>
  </si>
  <si>
    <t>Obligaciones Transferidas</t>
  </si>
  <si>
    <t>Servicios Recibidos</t>
  </si>
  <si>
    <t>Obligaciones Recibidas</t>
  </si>
  <si>
    <t>Impto a las Ventas Retenido por Consignar</t>
  </si>
  <si>
    <t>Elementos de Aseo, Cafetería y Lavandería</t>
  </si>
  <si>
    <t>Intereses por Financiación Usuarios</t>
  </si>
  <si>
    <t>Eventos Culturales</t>
  </si>
  <si>
    <t>31/12/2004</t>
  </si>
  <si>
    <t>Bienes Inmuebles Entregados en Administración</t>
  </si>
  <si>
    <t>Propiedades, Planta y Equipo</t>
  </si>
  <si>
    <t>Terrenos</t>
  </si>
  <si>
    <t>Impuesto de Timbre</t>
  </si>
  <si>
    <t>Principal y Subalterna</t>
  </si>
  <si>
    <t>EFECTO DEL SANEAMIENTO CONTABLE</t>
  </si>
  <si>
    <t>Concesión Sociedades Portuarias</t>
  </si>
  <si>
    <t>Capacitación Docente</t>
  </si>
  <si>
    <t>Materiales de Educación</t>
  </si>
  <si>
    <t>Cruce de Cuentas</t>
  </si>
  <si>
    <t>Aportes sobre la Nómina</t>
  </si>
  <si>
    <t>Amortizaciones de Intangibles</t>
  </si>
  <si>
    <t>Reclamaciones e Indeminizaciones a Otros Sectores</t>
  </si>
  <si>
    <t>DEPOSITOS RECIBIDOS DE TERCEROS</t>
  </si>
  <si>
    <t>Judiciales</t>
  </si>
  <si>
    <t>Imprevistos</t>
  </si>
  <si>
    <t>T.P.40308 T</t>
  </si>
  <si>
    <t>MIRELLA SANDRA CAMELO QUIMBAYO</t>
  </si>
  <si>
    <t>CONSOLIDADO</t>
  </si>
  <si>
    <t>GASTOS PAGADOS POR ANTICIPADO</t>
  </si>
  <si>
    <t>BIENES PENDIENTES DE LEGALIZAR</t>
  </si>
  <si>
    <t>Bienes Pendientes de Legalizar</t>
  </si>
  <si>
    <t>Caja Principal</t>
  </si>
  <si>
    <t>Cuenta de Ahorro</t>
  </si>
  <si>
    <t>INVERSIONES DE RENTA VARIABLE</t>
  </si>
  <si>
    <t>Otras Inversiones de renta Variable</t>
  </si>
  <si>
    <t>CUENTAS POR COBRAR</t>
  </si>
  <si>
    <t>Servicios Educativos</t>
  </si>
  <si>
    <t>Otras Cuentas por Cobrar</t>
  </si>
  <si>
    <t>ANTICIPOS O SALDO A FAVOR POR IMPUESTOS</t>
  </si>
  <si>
    <t>Impuestos de Industria y Comercio</t>
  </si>
  <si>
    <t>Deudas de Dificil Cobro</t>
  </si>
  <si>
    <t>Líneas y Cables</t>
  </si>
  <si>
    <t>Construcciones en Curso</t>
  </si>
  <si>
    <t>Equipo de Enseñanza</t>
  </si>
  <si>
    <t>Equipo de Investigación</t>
  </si>
  <si>
    <t>Equipo de Laboratorio</t>
  </si>
  <si>
    <t>En Administración</t>
  </si>
  <si>
    <t>RECAUDOS A FAVOR DE TERCEROS</t>
  </si>
  <si>
    <t>Otros Recaudos a Favor de Terceros</t>
  </si>
  <si>
    <t>Ventas</t>
  </si>
  <si>
    <t>OBLIGACIONES EN INVESTIGACION ADTIVA</t>
  </si>
  <si>
    <t>Cuentas por Pagar</t>
  </si>
  <si>
    <t>VENTA DE SERVICIOS</t>
  </si>
  <si>
    <t>SERVICIOS EDUCATIVOS</t>
  </si>
  <si>
    <t>Educación Formal Superior Técnica Profesional</t>
  </si>
  <si>
    <t>Educación Formal Superior Postgrados</t>
  </si>
  <si>
    <t>DEVOLUCIONES REBAJAS Y DESCUENTO EN VTA SER</t>
  </si>
  <si>
    <t>TRANSFERENCIAS CORRIENTES DEL GOBIERNO GRAL</t>
  </si>
  <si>
    <t>Fotocopias</t>
  </si>
  <si>
    <t>Promoción y Divulgación</t>
  </si>
  <si>
    <t>Implementos Deportivos</t>
  </si>
  <si>
    <t>Consulta Central Riesgos</t>
  </si>
  <si>
    <t>INTERESES</t>
  </si>
  <si>
    <t>Obligaciones Financieras de Créditos Obtenidos</t>
  </si>
  <si>
    <t>Prestación de Servicios</t>
  </si>
  <si>
    <t>Impuestos</t>
  </si>
  <si>
    <t>Ventas por Cuentas de Terceros</t>
  </si>
  <si>
    <t>PRESUPUESTO DE INGRESOS</t>
  </si>
  <si>
    <t>INGRESOS APROBADOS DB</t>
  </si>
  <si>
    <t>Venta de Servicios Educativos</t>
  </si>
  <si>
    <t>RECAUDOS EN EFECTIVO CR</t>
  </si>
  <si>
    <t>RECONOCIMIENTOS</t>
  </si>
  <si>
    <t>Venta de Servicios</t>
  </si>
  <si>
    <t>RECAUDAO POR INGRESOS NO AFORADOS</t>
  </si>
  <si>
    <t>Fondo Recursos Monitoreo y Vigilancia Educación Superior</t>
  </si>
  <si>
    <t>BALANCE GENERAL</t>
  </si>
  <si>
    <t>A 31 DICIEMBRE DE 2004</t>
  </si>
  <si>
    <t>(Cifras en miles de pesos)</t>
  </si>
  <si>
    <t>Periodo</t>
  </si>
  <si>
    <t>Código</t>
  </si>
  <si>
    <t>Actual</t>
  </si>
  <si>
    <t>$</t>
  </si>
  <si>
    <t>CORRIENTE (1)</t>
  </si>
  <si>
    <t>CORRIENTE (4)</t>
  </si>
  <si>
    <t>Efectivo</t>
  </si>
  <si>
    <t>Depósitos y exigibilidades</t>
  </si>
  <si>
    <t>Caja</t>
  </si>
  <si>
    <t>Operaciones de banca central</t>
  </si>
  <si>
    <t>Operaciones de captación y servicios financieros</t>
  </si>
  <si>
    <t>Fondos Interbanc.vendidos y pactos de rev.</t>
  </si>
  <si>
    <t>Fondos comprados y pactos de recompra</t>
  </si>
  <si>
    <t>Fondos en tránsito</t>
  </si>
  <si>
    <t>Fondos especiales</t>
  </si>
  <si>
    <t>Inversiones</t>
  </si>
  <si>
    <t>Deuda pública</t>
  </si>
  <si>
    <t>Inversiones Admon. De Liquidez R.Fija</t>
  </si>
  <si>
    <t>De renta fija</t>
  </si>
  <si>
    <t>Interna</t>
  </si>
  <si>
    <t>De renta variable en entidades privadas</t>
  </si>
  <si>
    <t>Préstamos Gubernamentales de Larg. Plazo</t>
  </si>
  <si>
    <t>Provisión para protección de inversiones</t>
  </si>
  <si>
    <t>Rentas por cobrar</t>
  </si>
  <si>
    <t>Obligaciones financieras</t>
  </si>
  <si>
    <t>Vigencia actual</t>
  </si>
  <si>
    <t>Obligaciones financiera nacionales</t>
  </si>
  <si>
    <t>Vigencia anterior</t>
  </si>
  <si>
    <t>Obligaciones financieras del exterior</t>
  </si>
  <si>
    <t>Dificil recaudo</t>
  </si>
  <si>
    <t>Provisión para rentas por cobrar</t>
  </si>
  <si>
    <t>Cuentas por pagar</t>
  </si>
  <si>
    <t>Deudores</t>
  </si>
  <si>
    <t>Adquisicion de Bienes y servicios</t>
  </si>
  <si>
    <t>Ingresos no Tributarios</t>
  </si>
  <si>
    <t>fondos especiales</t>
  </si>
  <si>
    <t>Transferencias</t>
  </si>
  <si>
    <t>Aportes por Cobrar</t>
  </si>
  <si>
    <t>Proveedores del exterior</t>
  </si>
  <si>
    <t>Préstamos concedidos</t>
  </si>
  <si>
    <t>Contratistas</t>
  </si>
  <si>
    <t>Avances y anticipos entregados</t>
  </si>
  <si>
    <t>Operaciones de seguros y reaseguros</t>
  </si>
  <si>
    <t>Antic. o saldos a favor por imp. y cont.</t>
  </si>
  <si>
    <t>Aportes por pagar a afiliados</t>
  </si>
  <si>
    <t>Depósitos entregados</t>
  </si>
  <si>
    <t>Acreedores</t>
  </si>
  <si>
    <t>Subsidios asignados</t>
  </si>
  <si>
    <t>Deudas de dificil cobro</t>
  </si>
  <si>
    <t>Gastos financieros por pagar</t>
  </si>
  <si>
    <t>Provisión para deudores</t>
  </si>
  <si>
    <t>Retención en la fuente e impuesto de timbre</t>
  </si>
  <si>
    <t>Retención impuesto de industria y comercio</t>
  </si>
  <si>
    <t>Mercancías procesadas</t>
  </si>
  <si>
    <t>Impuestos, contribuciones y tasas por pagar</t>
  </si>
  <si>
    <t>Mercancías en existencia</t>
  </si>
  <si>
    <t>Impuesto al valor agregado</t>
  </si>
  <si>
    <t>Materias primas y suministros</t>
  </si>
  <si>
    <t>Avances y anticipos recibidos</t>
  </si>
  <si>
    <t>Banco de órganos y tejidos</t>
  </si>
  <si>
    <t>Depositos recibidos de terceros</t>
  </si>
  <si>
    <t>Productos en proceso</t>
  </si>
  <si>
    <t>Créditos judiciales</t>
  </si>
  <si>
    <t>En tránsito</t>
  </si>
  <si>
    <t>Premios por pagar</t>
  </si>
  <si>
    <t>En poder de terceros</t>
  </si>
  <si>
    <t>Otras cuentas por pagar</t>
  </si>
  <si>
    <t>Provisión para protección de inventarios</t>
  </si>
  <si>
    <t>Obligaciones Laborales</t>
  </si>
  <si>
    <t>Gastos pagados por anticipado</t>
  </si>
  <si>
    <t>Salarios y prestaciones sociales</t>
  </si>
  <si>
    <t>Cargos diferidos</t>
  </si>
  <si>
    <t>Pensiones por pagar</t>
  </si>
  <si>
    <t>Obras y mejoras en propiedad ajena</t>
  </si>
  <si>
    <t>Bienes entregados a terceros</t>
  </si>
  <si>
    <t>Bonos y títulos emitidos</t>
  </si>
  <si>
    <t>Amortiz.de bienes entregados a terceros</t>
  </si>
  <si>
    <t>Títulos de regulación monetaria y cambiaria</t>
  </si>
  <si>
    <t>Bienes en proceso de titularización</t>
  </si>
  <si>
    <t>Bonos</t>
  </si>
  <si>
    <t>Bienes recibidos en dación de pago</t>
  </si>
  <si>
    <t>Bonos y títulos pensionales</t>
  </si>
  <si>
    <t>Provis.bienesrecib. en dación de pago</t>
  </si>
  <si>
    <t>Títulos emmitidos por el tesoro nacional</t>
  </si>
  <si>
    <t>Activos adq. de instituciones inscritas</t>
  </si>
  <si>
    <t>Otros bonos y títulos emitidos</t>
  </si>
  <si>
    <t>Bienes adquiridos en leasing</t>
  </si>
  <si>
    <t>Deprec. de bienes adquiridos en leasing</t>
  </si>
  <si>
    <t>Amortiz.de bienes adquiridos en leasing</t>
  </si>
  <si>
    <t>Pasivos estimados</t>
  </si>
  <si>
    <t>Capital garantía otorgado</t>
  </si>
  <si>
    <t>Provisión para obligaciones fiscales</t>
  </si>
  <si>
    <t>Responsabilidades</t>
  </si>
  <si>
    <t>Provisión para contingencias</t>
  </si>
  <si>
    <t>Provisión para responsabilidades</t>
  </si>
  <si>
    <t>Provisión para prestaciones sociales</t>
  </si>
  <si>
    <t>Bienes de arte y cultura</t>
  </si>
  <si>
    <t>Pensiones de jubilación</t>
  </si>
  <si>
    <t>Provisión de bienes de arte y cultura</t>
  </si>
  <si>
    <t>Provisión para seguros</t>
  </si>
  <si>
    <t>Provisiones diversas</t>
  </si>
  <si>
    <t>Amortización acumulada de intangibles</t>
  </si>
  <si>
    <t>Principal y subalterna</t>
  </si>
  <si>
    <t>Valorizaciones</t>
  </si>
  <si>
    <t>Otros pasivos</t>
  </si>
  <si>
    <t>Recaudos a favor de terceros</t>
  </si>
  <si>
    <t>Saldo neto de consolidación en cuentas</t>
  </si>
  <si>
    <t>Ingresos recibidos por anticipado</t>
  </si>
  <si>
    <t>de balance (CR) *</t>
  </si>
  <si>
    <t>Créditos diferidos</t>
  </si>
  <si>
    <t>Capital garantía emitido</t>
  </si>
  <si>
    <t>NO CORRIENTE (2)</t>
  </si>
  <si>
    <t>NO CORRIENTE (5)</t>
  </si>
  <si>
    <t>Inversiones Patrimoniales met. costos.</t>
  </si>
  <si>
    <t>Inversiones Patrimoniales met. Partic.</t>
  </si>
  <si>
    <t>De renta variable entre entidades públicas</t>
  </si>
  <si>
    <t>Externa</t>
  </si>
  <si>
    <t>De renta variable en empresas privadas</t>
  </si>
  <si>
    <t>Provisión para rpotección de inversiones</t>
  </si>
  <si>
    <t>Obligaciones financieras nacionales</t>
  </si>
  <si>
    <t>Cuentas por cobrar</t>
  </si>
  <si>
    <t>Aportes por cobrar</t>
  </si>
  <si>
    <t>Proveedores nacionales</t>
  </si>
  <si>
    <t>Antic. o saldos a favor por imptos. y contrib.</t>
  </si>
  <si>
    <t>subsidios Asignados</t>
  </si>
  <si>
    <t>Retención en la fuente, impuestos y timbre</t>
  </si>
  <si>
    <t>Retención imp.de ind.y cio. por pagar</t>
  </si>
  <si>
    <t>Propiedades, planta y equipo</t>
  </si>
  <si>
    <t>Semovientes</t>
  </si>
  <si>
    <t>Depósitos recibidos de terceros</t>
  </si>
  <si>
    <t>Construcciones en curso</t>
  </si>
  <si>
    <t>Maquinaria, planta y equipo en montaje</t>
  </si>
  <si>
    <t>Maquinaria, planta y equipo en tránsito</t>
  </si>
  <si>
    <t>Equipos y materiales en depósito</t>
  </si>
  <si>
    <t>Bienes muebles en bodega</t>
  </si>
  <si>
    <t>Propiedades, planta y equipo en manten.</t>
  </si>
  <si>
    <t>Obligaciones laborales</t>
  </si>
  <si>
    <t>Vías de comunicación y acceso</t>
  </si>
  <si>
    <t>Plantas y ductos</t>
  </si>
  <si>
    <t>Redes, líneas y cables</t>
  </si>
  <si>
    <t>Maquinaria y equipo</t>
  </si>
  <si>
    <t>Muebles, enseres y equipos de oficina</t>
  </si>
  <si>
    <t>Equipos de comunicación y computación</t>
  </si>
  <si>
    <t>Equipo de transporte, tracción y elevac.</t>
  </si>
  <si>
    <t>Títulos emitidos por el tesoro nacional</t>
  </si>
  <si>
    <t>Equipo de comedor, cocina, desp. y hotele.</t>
  </si>
  <si>
    <t>Depreciación acumulada</t>
  </si>
  <si>
    <t>Amortización acumulada</t>
  </si>
  <si>
    <t>Depreciación diferida</t>
  </si>
  <si>
    <t>Provisiones</t>
  </si>
  <si>
    <t>Bienes de beneficio y uso público</t>
  </si>
  <si>
    <t>Materiales en tránsito</t>
  </si>
  <si>
    <t>Bienes de benef. y uso público en const.</t>
  </si>
  <si>
    <t>Bienes de uso público</t>
  </si>
  <si>
    <t>Bienes históricos y culturales</t>
  </si>
  <si>
    <t>Amort. acum. de bienes de uso público</t>
  </si>
  <si>
    <t>Recursos naturales y del ambiente</t>
  </si>
  <si>
    <t>Recursos renovables</t>
  </si>
  <si>
    <t>Amort. acum. de recursos renovables</t>
  </si>
  <si>
    <t>Recursos no renovables</t>
  </si>
  <si>
    <t>gotam. acum. de recursos no renovables</t>
  </si>
  <si>
    <t>TOTAL INTERES MINORITARIO (6)*</t>
  </si>
  <si>
    <t>Invers. en explot. de recursos no renovables</t>
  </si>
  <si>
    <t>Participación de terceros</t>
  </si>
  <si>
    <t>Amort. acum. de inv. en rec. no renovab.</t>
  </si>
  <si>
    <t>Participación patrimonial del sector público</t>
  </si>
  <si>
    <t>PATRIMONIO (7)</t>
  </si>
  <si>
    <t>Hacienda pública</t>
  </si>
  <si>
    <t>Inversion Social Diferida</t>
  </si>
  <si>
    <t>Capital fiscal</t>
  </si>
  <si>
    <t>Resultados del ejercicio</t>
  </si>
  <si>
    <t>Superavit por Valorizacion</t>
  </si>
  <si>
    <t>Amort. de bienes entregados a terceros</t>
  </si>
  <si>
    <t>Superavit por metodo de participación</t>
  </si>
  <si>
    <t>Superavit por donación</t>
  </si>
  <si>
    <t>Patrimonio público incorporado</t>
  </si>
  <si>
    <t>Prov. bienes recib. en dación de pago</t>
  </si>
  <si>
    <t>Revalorización hacienda pública</t>
  </si>
  <si>
    <t>Efecto del Saneamiento Contable</t>
  </si>
  <si>
    <t>Deprec. de bienes adquir. en leasing</t>
  </si>
  <si>
    <t>Amort. de bienes adquiridos en leasing</t>
  </si>
  <si>
    <t>Patrimonio institucional</t>
  </si>
  <si>
    <t>Capital autorizado y pagado</t>
  </si>
  <si>
    <t>Prima en colocac. de acciones o cuotas</t>
  </si>
  <si>
    <t>Reservas</t>
  </si>
  <si>
    <t>Dividendos y participac. decretados</t>
  </si>
  <si>
    <t>Utilidad o pérdida de ejerc. anteriores</t>
  </si>
  <si>
    <t>Bienes y Derechos en Investigación Adtiva</t>
  </si>
  <si>
    <t>Superavit por valorización</t>
  </si>
  <si>
    <t>Revalorización del patrimonio</t>
  </si>
  <si>
    <t>Patrimonio institucional incorporado</t>
  </si>
  <si>
    <t>de balance (CR)</t>
  </si>
  <si>
    <t>TOTAL ACTIVO (3)</t>
  </si>
  <si>
    <t>TOTAL PASIVO Y PATRIMONIO (8)</t>
  </si>
  <si>
    <t>CUENTAS DE ORDEN DEUDORAS (9)</t>
  </si>
  <si>
    <t>CUENTAS DE ORDEN ACREEDORAS (10)</t>
  </si>
  <si>
    <t>Derechos contingentes</t>
  </si>
  <si>
    <t>Deudoras fiscales</t>
  </si>
  <si>
    <t>Responsabilidades contingentes</t>
  </si>
  <si>
    <t>Deudoras de control</t>
  </si>
  <si>
    <t>Acreedores fiscales</t>
  </si>
  <si>
    <t>Deudoras fiduciarias</t>
  </si>
  <si>
    <t>Acreedoras de control</t>
  </si>
  <si>
    <t>Deudoras por contra (cr)</t>
  </si>
  <si>
    <t>Acreedoras fiduciarias</t>
  </si>
  <si>
    <t>Acreedoras por contra (db)</t>
  </si>
  <si>
    <t>Saldo neto de consolidación en cuentas de balance (CR) *</t>
  </si>
  <si>
    <t>TOTAL INTERÉS MINORITARIO (6) *</t>
  </si>
  <si>
    <t xml:space="preserve">ESTADO DE ACTIVIDAD FINANCIERA, ECONOMICA Y SOCIAL </t>
  </si>
  <si>
    <t>A DICIEMBRE 31 DE 2004</t>
  </si>
  <si>
    <t>2004</t>
  </si>
  <si>
    <t>2003</t>
  </si>
  <si>
    <t>Cuentas</t>
  </si>
  <si>
    <t>INGRESOS OPERACIONALES (1)</t>
  </si>
  <si>
    <t>Ingresos fiscales</t>
  </si>
  <si>
    <t>Tributarios</t>
  </si>
  <si>
    <t>Rentas parafiscales</t>
  </si>
  <si>
    <t>Ingresos por fondos especiales</t>
  </si>
  <si>
    <t>Devoluciones, descuentos, amnistías</t>
  </si>
  <si>
    <t>Venta de bienes</t>
  </si>
  <si>
    <t>Bienes Producidos</t>
  </si>
  <si>
    <t>Bienes comercializados</t>
  </si>
  <si>
    <t>Devoluciones, rebajas y descuentos en venta de bienes (db)</t>
  </si>
  <si>
    <t>Venta de servicios</t>
  </si>
  <si>
    <t>Servicios educativos</t>
  </si>
  <si>
    <t>Servicios de previsión social</t>
  </si>
  <si>
    <t>Servicios de salud</t>
  </si>
  <si>
    <t>Servicios de energía</t>
  </si>
  <si>
    <t>Servicios de acueducto</t>
  </si>
  <si>
    <t>Servicios de alcantarillado</t>
  </si>
  <si>
    <t>Servicios de aseo</t>
  </si>
  <si>
    <t>Servicios de gas combustible</t>
  </si>
  <si>
    <t>Servicios de tránsito y transporte</t>
  </si>
  <si>
    <t>Servicios de telecomunicaciones</t>
  </si>
  <si>
    <t>Juegos de suerte y azar</t>
  </si>
  <si>
    <t>Servicios hoteleros</t>
  </si>
  <si>
    <t>Servicios financieros</t>
  </si>
  <si>
    <t>Servicios de seguros y reaseguros</t>
  </si>
  <si>
    <t>Servicios de documentación e identificación</t>
  </si>
  <si>
    <t>Otros servicios</t>
  </si>
  <si>
    <t>Devoluaciones, rebajas y descuentos en venta de servicios (db)</t>
  </si>
  <si>
    <t>Transferencias intergubernamentales recibidas</t>
  </si>
  <si>
    <t>Transferencias corrientes recibidas</t>
  </si>
  <si>
    <t>Situado fiscal recibido</t>
  </si>
  <si>
    <t>Transferencias de capital recibidas por participación en los</t>
  </si>
  <si>
    <t>ingresos corrientes de la Nación</t>
  </si>
  <si>
    <t>Otras transferencias de capital recibidas</t>
  </si>
  <si>
    <t>Otras transferencias corrientes</t>
  </si>
  <si>
    <t>Otras transferencias recibidas</t>
  </si>
  <si>
    <t>Operaciones Interinstitucionales (Recibidas)</t>
  </si>
  <si>
    <t>Aportes y traspasos de fondos recibidos</t>
  </si>
  <si>
    <t>Operaciones de enlace</t>
  </si>
  <si>
    <t>Saldos netos de conciliación en operaciones de enlace (cr) *</t>
  </si>
  <si>
    <t>Operaciones de enlace sin situación de fondos</t>
  </si>
  <si>
    <t>Operaciones de traspaso de bienes</t>
  </si>
  <si>
    <t>COSTO DE VENTAS (2)</t>
  </si>
  <si>
    <t>Costo de ventas de bienes y servicios</t>
  </si>
  <si>
    <t>GASTOS OPERACIONALES (3)</t>
  </si>
  <si>
    <t>De administración</t>
  </si>
  <si>
    <t>Sueldos y salarios</t>
  </si>
  <si>
    <t>Contribuciones Imputadas</t>
  </si>
  <si>
    <t>Contribuciones Efectivas</t>
  </si>
  <si>
    <t>Aportes sobre la Nomina</t>
  </si>
  <si>
    <t>Generales</t>
  </si>
  <si>
    <t>Impuestos Contribuciones y Tasas</t>
  </si>
  <si>
    <t>De operación</t>
  </si>
  <si>
    <t>Servicios personales</t>
  </si>
  <si>
    <t>Provisiones, agotamiento, depreciación y amortización</t>
  </si>
  <si>
    <t>Agotamiento</t>
  </si>
  <si>
    <t>Depreciación</t>
  </si>
  <si>
    <t>Amortizaciones de Bienes Entregados a Terceros</t>
  </si>
  <si>
    <t>Amortizaciones</t>
  </si>
  <si>
    <t>Transferencias giradas por convenios con el sector privado</t>
  </si>
  <si>
    <t>Corrientes al gobierno general</t>
  </si>
  <si>
    <t>Corrientes a las empresas</t>
  </si>
  <si>
    <t>Sistema General de Participación</t>
  </si>
  <si>
    <t>De capital al gobierno central</t>
  </si>
  <si>
    <t>Otras transferencias giradas</t>
  </si>
  <si>
    <t>Transferencias corrientes giradas al exterior</t>
  </si>
  <si>
    <t>Transferencias de capital giradas por participación en ingresos</t>
  </si>
  <si>
    <t>corrientes de la Nación</t>
  </si>
  <si>
    <t>Otras transferencias de capital giradas</t>
  </si>
  <si>
    <t>Gasto Social</t>
  </si>
  <si>
    <t>Gasto de Inversión Social</t>
  </si>
  <si>
    <t>Educación Arte y Cultura</t>
  </si>
  <si>
    <t>Operaciones Interinstitucionales</t>
  </si>
  <si>
    <t>aportes y traspasos de fondos girados</t>
  </si>
  <si>
    <t>Operaciones de enlace con situación de fondos</t>
  </si>
  <si>
    <t>Operaciones de traspaso de Bienes, derechos y Obligaciones</t>
  </si>
  <si>
    <t>EXCEDENTE (DÉFICIT) OPERACIONAL (4)</t>
  </si>
  <si>
    <t>OTROS INGRESOS (5)</t>
  </si>
  <si>
    <t>Utilidad por elmétodo de participación patrimonial</t>
  </si>
  <si>
    <t>Extraordinarios</t>
  </si>
  <si>
    <t>Ajuste de ejercicios anteriore</t>
  </si>
  <si>
    <t>SALDO NETO DE CONSOLIDACIÓN EN CUENTAS</t>
  </si>
  <si>
    <t>DE RESULTADO (DB) (6)*</t>
  </si>
  <si>
    <t>OTROS GASTOS (7)</t>
  </si>
  <si>
    <t>Pérdida por el método de participación patrimonial</t>
  </si>
  <si>
    <t>Ajussted de ejercicios anteriores</t>
  </si>
  <si>
    <t>EXCEDENTE (DÉFICIT) ANTES DE AJUSTES POR INFLACIÓN (8)</t>
  </si>
  <si>
    <t>EFECTO NETO POR EXPOSICIÓN A LA INFLACIÓN (9)</t>
  </si>
  <si>
    <t>Corrección monetaria</t>
  </si>
  <si>
    <t>PARTICIPACIÓN DEL INTERÉS MINORITARIO EN</t>
  </si>
  <si>
    <t>LOS RESULTADOS (10) *</t>
  </si>
  <si>
    <t>EXCEDENTE (DEFICIT) DEL EJERCICIO (11)</t>
  </si>
  <si>
    <t xml:space="preserve">    NOHEMY ARIAS OTERO</t>
  </si>
  <si>
    <t>Ministra de Educación Nacional</t>
  </si>
  <si>
    <t xml:space="preserve">  </t>
  </si>
  <si>
    <t xml:space="preserve">    Secretaria General</t>
  </si>
  <si>
    <t>Provisiones, agotamiento, amortización</t>
  </si>
  <si>
    <t>Gasto de inversión Social</t>
  </si>
  <si>
    <t xml:space="preserve">Otros ingresos  </t>
  </si>
  <si>
    <t xml:space="preserve">Otros Gastos  </t>
  </si>
  <si>
    <t>EXCEDENTE (DÉFICIT) DEL EJERCICIO (11)</t>
  </si>
  <si>
    <t>ESTADO DE CAMBIOS EN EL PATRIMONIO</t>
  </si>
  <si>
    <t>Saldo del Patrimonio a Diciembre de 2003                      (1)</t>
  </si>
  <si>
    <t>Variaciones Patrimoniales durante 2004                        (2)</t>
  </si>
  <si>
    <t>Saldo del Patrimonio a Diciembre de 2004                      (3)</t>
  </si>
  <si>
    <t xml:space="preserve">        </t>
  </si>
  <si>
    <t>DETALLE DE LAS VARIACIONES PATRIMONIALES (2)</t>
  </si>
  <si>
    <t>INCREMENTOS                                                          (4)</t>
  </si>
  <si>
    <t>DISMINUCIONES                                                        (5)</t>
  </si>
  <si>
    <t>PARTIDAS SIN MOVIMIENTO                                     (6)</t>
  </si>
  <si>
    <t>MINISTRA DE DUCACION</t>
  </si>
  <si>
    <t>Secretaria General</t>
  </si>
  <si>
    <t>Cuentas por Cobrar</t>
  </si>
  <si>
    <t>Obligaciones en Investigación Administrativa</t>
  </si>
  <si>
    <t>Transferencias corrientes al Gobierno Nacional</t>
  </si>
  <si>
    <t>Intereses</t>
  </si>
  <si>
    <t>Inversiones de Renta Variable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</si>
</sst>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00000"/>
    <numFmt numFmtId="179" formatCode="dd/mm/yy"/>
    <numFmt numFmtId="180" formatCode="0;[Red]0"/>
    <numFmt numFmtId="181" formatCode="#,##0.0"/>
    <numFmt numFmtId="182" formatCode="dd/mm/yy;@"/>
    <numFmt numFmtId="183" formatCode="&quot;$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justify"/>
      <protection/>
    </xf>
    <xf numFmtId="1" fontId="4" fillId="0" borderId="0" xfId="0" applyNumberFormat="1" applyFont="1" applyFill="1" applyAlignment="1" applyProtection="1" quotePrefix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3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3" fontId="4" fillId="0" borderId="0" xfId="18" applyNumberFormat="1" applyFont="1" applyFill="1" applyAlignment="1" applyProtection="1">
      <alignment horizontal="right"/>
      <protection locked="0"/>
    </xf>
    <xf numFmtId="3" fontId="5" fillId="0" borderId="0" xfId="18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4" fillId="0" borderId="0" xfId="18" applyNumberFormat="1" applyFont="1" applyFill="1" applyAlignment="1">
      <alignment/>
    </xf>
    <xf numFmtId="3" fontId="5" fillId="0" borderId="0" xfId="18" applyNumberFormat="1" applyFont="1" applyFill="1" applyAlignment="1">
      <alignment/>
    </xf>
    <xf numFmtId="3" fontId="4" fillId="0" borderId="0" xfId="18" applyNumberFormat="1" applyFont="1" applyFill="1" applyAlignment="1" applyProtection="1" quotePrefix="1">
      <alignment horizontal="right"/>
      <protection locked="0"/>
    </xf>
    <xf numFmtId="0" fontId="5" fillId="0" borderId="0" xfId="0" applyFont="1" applyFill="1" applyAlignment="1" applyProtection="1" quotePrefix="1">
      <alignment horizontal="left"/>
      <protection/>
    </xf>
    <xf numFmtId="3" fontId="5" fillId="0" borderId="0" xfId="18" applyNumberFormat="1" applyFont="1" applyFill="1" applyAlignment="1" applyProtection="1" quotePrefix="1">
      <alignment horizontal="right"/>
      <protection locked="0"/>
    </xf>
    <xf numFmtId="178" fontId="4" fillId="0" borderId="0" xfId="0" applyNumberFormat="1" applyFont="1" applyFill="1" applyAlignment="1" applyProtection="1">
      <alignment horizontal="left"/>
      <protection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180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Continuous"/>
    </xf>
    <xf numFmtId="3" fontId="4" fillId="0" borderId="0" xfId="0" applyNumberFormat="1" applyFont="1" applyFill="1" applyAlignment="1" applyProtection="1">
      <alignment horizontal="left" vertical="center"/>
      <protection/>
    </xf>
    <xf numFmtId="15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 applyProtection="1">
      <alignment horizontal="left"/>
      <protection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9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43" fontId="5" fillId="0" borderId="0" xfId="17" applyFont="1" applyAlignment="1">
      <alignment/>
    </xf>
    <xf numFmtId="43" fontId="5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83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18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3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documentos\Contabilidad\balances%20trimestrales\2003\Dic03%20Modificado%20CxP\CGN96.001%20consolid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Configuraci&#243;n%20local\Archivos%20temporales%20de%20Internet\OLK198\BGCONSGNRAL122004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melo\Configuraci&#243;n%20local\Archivos%20temporales%20de%20Internet\OLK198\GYPCONS12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GN96.001 "/>
    </sheetNames>
    <sheetDataSet>
      <sheetData sheetId="0">
        <row r="520">
          <cell r="D520">
            <v>1239224</v>
          </cell>
        </row>
        <row r="539">
          <cell r="D539">
            <v>930904537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e por grupo"/>
      <sheetName val="bce gral por cta"/>
      <sheetName val="ecsf"/>
      <sheetName val="compara"/>
      <sheetName val="Hoja6"/>
      <sheetName val="PATRIMONIO"/>
    </sheetNames>
    <sheetDataSet>
      <sheetData sheetId="1">
        <row r="13">
          <cell r="D13">
            <v>25081809</v>
          </cell>
          <cell r="G13">
            <v>0</v>
          </cell>
          <cell r="H13">
            <v>0</v>
          </cell>
        </row>
        <row r="21">
          <cell r="D21">
            <v>124150051</v>
          </cell>
          <cell r="H21">
            <v>132000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342510</v>
          </cell>
        </row>
        <row r="32">
          <cell r="H32">
            <v>676514794</v>
          </cell>
        </row>
        <row r="33">
          <cell r="D33">
            <v>52511360</v>
          </cell>
        </row>
        <row r="45">
          <cell r="C45">
            <v>0</v>
          </cell>
          <cell r="D45">
            <v>0</v>
          </cell>
        </row>
        <row r="56">
          <cell r="D56">
            <v>193846</v>
          </cell>
          <cell r="H56">
            <v>69770</v>
          </cell>
        </row>
        <row r="60">
          <cell r="G60">
            <v>0</v>
          </cell>
          <cell r="H60">
            <v>0</v>
          </cell>
        </row>
        <row r="68">
          <cell r="G68">
            <v>0</v>
          </cell>
          <cell r="H68">
            <v>574139</v>
          </cell>
        </row>
        <row r="77">
          <cell r="H77">
            <v>39165</v>
          </cell>
        </row>
        <row r="80">
          <cell r="C80">
            <v>0</v>
          </cell>
          <cell r="D80">
            <v>0</v>
          </cell>
        </row>
        <row r="90">
          <cell r="D90">
            <v>2333307</v>
          </cell>
          <cell r="G90">
            <v>0</v>
          </cell>
          <cell r="H90">
            <v>0</v>
          </cell>
        </row>
        <row r="96">
          <cell r="G96">
            <v>0</v>
          </cell>
          <cell r="H96">
            <v>0</v>
          </cell>
        </row>
        <row r="97">
          <cell r="C97">
            <v>0</v>
          </cell>
          <cell r="D97">
            <v>0</v>
          </cell>
        </row>
        <row r="102">
          <cell r="D102">
            <v>63746929</v>
          </cell>
        </row>
        <row r="103">
          <cell r="G103">
            <v>0</v>
          </cell>
          <cell r="H103">
            <v>0</v>
          </cell>
        </row>
        <row r="113">
          <cell r="D113">
            <v>27411400</v>
          </cell>
        </row>
        <row r="122">
          <cell r="G122">
            <v>0</v>
          </cell>
          <cell r="H122">
            <v>0</v>
          </cell>
        </row>
        <row r="126">
          <cell r="G126">
            <v>0</v>
          </cell>
          <cell r="H126">
            <v>0</v>
          </cell>
        </row>
        <row r="134">
          <cell r="G134">
            <v>0</v>
          </cell>
          <cell r="H134">
            <v>1959853</v>
          </cell>
        </row>
        <row r="137">
          <cell r="C137">
            <v>0</v>
          </cell>
          <cell r="D137">
            <v>0</v>
          </cell>
        </row>
        <row r="142">
          <cell r="G142">
            <v>0</v>
          </cell>
          <cell r="H142">
            <v>0</v>
          </cell>
        </row>
        <row r="144">
          <cell r="C144">
            <v>0</v>
          </cell>
          <cell r="D144">
            <v>0</v>
          </cell>
        </row>
        <row r="149">
          <cell r="G149">
            <v>0</v>
          </cell>
          <cell r="H149">
            <v>0</v>
          </cell>
        </row>
        <row r="150">
          <cell r="G150">
            <v>0</v>
          </cell>
          <cell r="H150">
            <v>0</v>
          </cell>
        </row>
        <row r="152">
          <cell r="D152">
            <v>93543266</v>
          </cell>
        </row>
        <row r="154">
          <cell r="H154">
            <v>-293216878</v>
          </cell>
        </row>
        <row r="165">
          <cell r="G165">
            <v>0</v>
          </cell>
          <cell r="H165">
            <v>2556615</v>
          </cell>
        </row>
        <row r="178">
          <cell r="C178">
            <v>0</v>
          </cell>
          <cell r="D178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0</v>
          </cell>
          <cell r="D185">
            <v>0</v>
          </cell>
          <cell r="H185">
            <v>930904537</v>
          </cell>
        </row>
        <row r="186">
          <cell r="D186">
            <v>1239224</v>
          </cell>
          <cell r="G186">
            <v>0</v>
          </cell>
          <cell r="H186">
            <v>0</v>
          </cell>
        </row>
        <row r="187">
          <cell r="C187">
            <v>0</v>
          </cell>
          <cell r="D187">
            <v>0</v>
          </cell>
          <cell r="G187">
            <v>0</v>
          </cell>
          <cell r="H187">
            <v>0</v>
          </cell>
        </row>
        <row r="188">
          <cell r="D188">
            <v>-1239224</v>
          </cell>
        </row>
        <row r="189">
          <cell r="H189">
            <v>-930904537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 Y P POR CLASE"/>
      <sheetName val="G Y P POR GRUPO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1">
        <row r="3">
          <cell r="A3" t="str">
            <v>A DICIEMBRE 31 DE 2004</v>
          </cell>
        </row>
        <row r="5">
          <cell r="A5" t="str">
            <v>CONSOLIDADO</v>
          </cell>
        </row>
        <row r="12">
          <cell r="E12">
            <v>111078920</v>
          </cell>
        </row>
        <row r="19">
          <cell r="D19">
            <v>0</v>
          </cell>
          <cell r="E19">
            <v>0</v>
          </cell>
        </row>
        <row r="24">
          <cell r="E24">
            <v>0</v>
          </cell>
        </row>
        <row r="43">
          <cell r="E43">
            <v>0</v>
          </cell>
        </row>
        <row r="53">
          <cell r="E53">
            <v>9219099976</v>
          </cell>
        </row>
        <row r="61">
          <cell r="D61">
            <v>0</v>
          </cell>
          <cell r="E61">
            <v>0</v>
          </cell>
        </row>
        <row r="83">
          <cell r="E83">
            <v>17593429</v>
          </cell>
        </row>
        <row r="91">
          <cell r="D91">
            <v>0</v>
          </cell>
          <cell r="E91">
            <v>0</v>
          </cell>
        </row>
        <row r="95">
          <cell r="E95">
            <v>20708645</v>
          </cell>
        </row>
        <row r="103">
          <cell r="E103">
            <v>9564096180</v>
          </cell>
        </row>
        <row r="117">
          <cell r="E117">
            <v>63101536</v>
          </cell>
        </row>
        <row r="121">
          <cell r="D121">
            <v>0</v>
          </cell>
          <cell r="E121">
            <v>522144</v>
          </cell>
        </row>
        <row r="125">
          <cell r="E125">
            <v>17318078</v>
          </cell>
        </row>
        <row r="133">
          <cell r="E133">
            <v>92250321</v>
          </cell>
        </row>
        <row r="142">
          <cell r="E142">
            <v>-34006077</v>
          </cell>
        </row>
        <row r="150">
          <cell r="D150">
            <v>0</v>
          </cell>
          <cell r="E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3"/>
  <sheetViews>
    <sheetView workbookViewId="0" topLeftCell="A175">
      <selection activeCell="B184" sqref="B184"/>
    </sheetView>
  </sheetViews>
  <sheetFormatPr defaultColWidth="11.421875" defaultRowHeight="12.75"/>
  <cols>
    <col min="1" max="1" width="13.7109375" style="9" customWidth="1"/>
    <col min="2" max="2" width="37.7109375" style="10" customWidth="1"/>
    <col min="3" max="3" width="10.8515625" style="1" bestFit="1" customWidth="1"/>
    <col min="4" max="4" width="12.140625" style="2" customWidth="1"/>
    <col min="5" max="5" width="15.28125" style="12" customWidth="1"/>
    <col min="6" max="6" width="11.421875" style="10" customWidth="1"/>
    <col min="7" max="7" width="11.7109375" style="10" bestFit="1" customWidth="1"/>
    <col min="8" max="16384" width="11.421875" style="10" customWidth="1"/>
  </cols>
  <sheetData>
    <row r="1" spans="1:5" ht="12.75" customHeight="1">
      <c r="A1" s="9" t="s">
        <v>0</v>
      </c>
      <c r="B1" s="10" t="s">
        <v>1</v>
      </c>
      <c r="C1" s="1" t="s">
        <v>2</v>
      </c>
      <c r="E1" s="12" t="s">
        <v>3</v>
      </c>
    </row>
    <row r="2" spans="1:5" ht="12.75" customHeight="1">
      <c r="A2" s="9" t="s">
        <v>4</v>
      </c>
      <c r="B2" s="10" t="s">
        <v>5</v>
      </c>
      <c r="E2" s="36" t="s">
        <v>575</v>
      </c>
    </row>
    <row r="3" spans="1:5" ht="12.75" customHeight="1">
      <c r="A3" s="9" t="s">
        <v>6</v>
      </c>
      <c r="B3" s="37" t="s">
        <v>7</v>
      </c>
      <c r="E3" s="3"/>
    </row>
    <row r="4" spans="1:2" ht="12.75" customHeight="1">
      <c r="A4" s="9" t="s">
        <v>8</v>
      </c>
      <c r="B4" s="38" t="s">
        <v>9</v>
      </c>
    </row>
    <row r="5" spans="1:7" ht="12.75" customHeight="1">
      <c r="A5" s="9" t="s">
        <v>10</v>
      </c>
      <c r="B5" s="44" t="s">
        <v>556</v>
      </c>
      <c r="C5" s="1" t="s">
        <v>2</v>
      </c>
      <c r="F5" s="18"/>
      <c r="G5" s="18"/>
    </row>
    <row r="6" spans="2:7" ht="10.5" customHeight="1">
      <c r="B6" s="39"/>
      <c r="C6" s="40"/>
      <c r="F6" s="18"/>
      <c r="G6" s="18"/>
    </row>
    <row r="7" spans="2:7" ht="11.25" customHeight="1">
      <c r="B7" s="41"/>
      <c r="D7" s="42" t="s">
        <v>11</v>
      </c>
      <c r="G7" s="18"/>
    </row>
    <row r="8" spans="2:4" ht="13.5" customHeight="1">
      <c r="B8" s="43" t="s">
        <v>2</v>
      </c>
      <c r="C8" s="4"/>
      <c r="D8" s="5"/>
    </row>
    <row r="9" spans="1:7" s="39" customFormat="1" ht="12.75" customHeight="1">
      <c r="A9" s="6"/>
      <c r="B9" s="7" t="s">
        <v>12</v>
      </c>
      <c r="C9" s="3" t="s">
        <v>13</v>
      </c>
      <c r="D9" s="8" t="s">
        <v>14</v>
      </c>
      <c r="E9" s="3" t="s">
        <v>15</v>
      </c>
      <c r="G9" s="50"/>
    </row>
    <row r="10" spans="3:7" ht="12.75" customHeight="1">
      <c r="C10" s="11"/>
      <c r="E10" s="18"/>
      <c r="F10" s="18"/>
      <c r="G10" s="18"/>
    </row>
    <row r="11" spans="1:7" ht="12.75" customHeight="1">
      <c r="A11" s="13">
        <v>100000</v>
      </c>
      <c r="B11" s="14" t="s">
        <v>16</v>
      </c>
      <c r="C11" s="15">
        <f>C12+C23+C32+C64+C129</f>
        <v>265579473</v>
      </c>
      <c r="D11" s="15">
        <f>D12+D23+D32+D64+D129</f>
        <v>120745742</v>
      </c>
      <c r="E11" s="15">
        <f>SUM(C11:D11)</f>
        <v>386325215</v>
      </c>
      <c r="F11" s="18"/>
      <c r="G11" s="18"/>
    </row>
    <row r="12" spans="1:6" ht="12.75" customHeight="1">
      <c r="A12" s="13">
        <v>110000</v>
      </c>
      <c r="B12" s="14" t="s">
        <v>17</v>
      </c>
      <c r="C12" s="15">
        <f>+C13+C16+C20</f>
        <v>11385395</v>
      </c>
      <c r="D12" s="15">
        <f>+D13+D16</f>
        <v>0</v>
      </c>
      <c r="E12" s="15">
        <f aca="true" t="shared" si="0" ref="E12:E20">+C12+D12</f>
        <v>11385395</v>
      </c>
      <c r="F12" s="18"/>
    </row>
    <row r="13" spans="1:6" ht="12.75" customHeight="1">
      <c r="A13" s="13">
        <v>110500</v>
      </c>
      <c r="B13" s="14" t="s">
        <v>18</v>
      </c>
      <c r="C13" s="15">
        <f>SUM(C14:C15)</f>
        <v>1404</v>
      </c>
      <c r="D13" s="15">
        <f>SUM(D15)</f>
        <v>0</v>
      </c>
      <c r="E13" s="15">
        <f t="shared" si="0"/>
        <v>1404</v>
      </c>
      <c r="F13" s="15"/>
    </row>
    <row r="14" spans="1:6" ht="12.75" customHeight="1">
      <c r="A14" s="13">
        <v>110501</v>
      </c>
      <c r="B14" s="16" t="s">
        <v>579</v>
      </c>
      <c r="C14" s="17">
        <v>1404</v>
      </c>
      <c r="D14" s="17">
        <v>0</v>
      </c>
      <c r="E14" s="17">
        <f>+C14+D14</f>
        <v>1404</v>
      </c>
      <c r="F14" s="18"/>
    </row>
    <row r="15" spans="1:5" ht="12.75" customHeight="1">
      <c r="A15" s="13">
        <v>110502</v>
      </c>
      <c r="B15" s="16" t="s">
        <v>19</v>
      </c>
      <c r="C15" s="17"/>
      <c r="D15" s="17">
        <v>0</v>
      </c>
      <c r="E15" s="17">
        <f t="shared" si="0"/>
        <v>0</v>
      </c>
    </row>
    <row r="16" spans="1:5" ht="12.75" customHeight="1">
      <c r="A16" s="13">
        <v>111000</v>
      </c>
      <c r="B16" s="14" t="s">
        <v>20</v>
      </c>
      <c r="C16" s="15">
        <f>SUM(C17:C19)</f>
        <v>754067</v>
      </c>
      <c r="D16" s="2">
        <v>0</v>
      </c>
      <c r="E16" s="2">
        <f t="shared" si="0"/>
        <v>754067</v>
      </c>
    </row>
    <row r="17" spans="1:5" ht="12.75" customHeight="1">
      <c r="A17" s="13">
        <v>111005</v>
      </c>
      <c r="B17" s="16" t="s">
        <v>21</v>
      </c>
      <c r="C17" s="17">
        <f>169141+40526+34273</f>
        <v>243940</v>
      </c>
      <c r="D17" s="18">
        <v>0</v>
      </c>
      <c r="E17" s="18">
        <f t="shared" si="0"/>
        <v>243940</v>
      </c>
    </row>
    <row r="18" spans="1:5" ht="12.75" customHeight="1">
      <c r="A18" s="13">
        <v>111006</v>
      </c>
      <c r="B18" s="16" t="s">
        <v>580</v>
      </c>
      <c r="C18" s="17">
        <v>510127</v>
      </c>
      <c r="D18" s="18"/>
      <c r="E18" s="18">
        <f t="shared" si="0"/>
        <v>510127</v>
      </c>
    </row>
    <row r="19" spans="1:5" ht="12.75" customHeight="1">
      <c r="A19" s="13">
        <v>111090</v>
      </c>
      <c r="B19" s="16" t="s">
        <v>22</v>
      </c>
      <c r="C19" s="17">
        <v>0</v>
      </c>
      <c r="D19" s="18">
        <v>0</v>
      </c>
      <c r="E19" s="18">
        <f t="shared" si="0"/>
        <v>0</v>
      </c>
    </row>
    <row r="20" spans="1:5" ht="12.75" customHeight="1">
      <c r="A20" s="13">
        <v>112500</v>
      </c>
      <c r="B20" s="19" t="s">
        <v>23</v>
      </c>
      <c r="C20" s="15">
        <f>SUM(C21:C22)</f>
        <v>10629924</v>
      </c>
      <c r="D20" s="2">
        <v>0</v>
      </c>
      <c r="E20" s="2">
        <f t="shared" si="0"/>
        <v>10629924</v>
      </c>
    </row>
    <row r="21" spans="1:5" ht="12.75" customHeight="1">
      <c r="A21" s="13">
        <v>112504</v>
      </c>
      <c r="B21" s="16" t="s">
        <v>24</v>
      </c>
      <c r="C21" s="17">
        <v>9777713</v>
      </c>
      <c r="D21" s="18">
        <v>0</v>
      </c>
      <c r="E21" s="18">
        <f>SUM(C21:D21)</f>
        <v>9777713</v>
      </c>
    </row>
    <row r="22" spans="1:5" ht="12" customHeight="1">
      <c r="A22" s="13">
        <v>112506</v>
      </c>
      <c r="B22" s="16" t="s">
        <v>25</v>
      </c>
      <c r="C22" s="17">
        <v>852211</v>
      </c>
      <c r="D22" s="20">
        <v>0</v>
      </c>
      <c r="E22" s="20">
        <f aca="true" t="shared" si="1" ref="E22:E51">+C22+D22</f>
        <v>852211</v>
      </c>
    </row>
    <row r="23" spans="1:6" ht="12.75" customHeight="1">
      <c r="A23" s="13">
        <v>120000</v>
      </c>
      <c r="B23" s="14" t="s">
        <v>26</v>
      </c>
      <c r="C23" s="15">
        <f>+C24+C27+C29</f>
        <v>162398817</v>
      </c>
      <c r="D23" s="15">
        <f>+D24+D27+D29</f>
        <v>0</v>
      </c>
      <c r="E23" s="21">
        <f>SUM(C23:D23)</f>
        <v>162398817</v>
      </c>
      <c r="F23" s="18"/>
    </row>
    <row r="24" spans="1:5" ht="12.75" customHeight="1">
      <c r="A24" s="13">
        <v>120100</v>
      </c>
      <c r="B24" s="14" t="s">
        <v>27</v>
      </c>
      <c r="C24" s="15">
        <f>SUM(C25:C26)</f>
        <v>162349608</v>
      </c>
      <c r="D24" s="21">
        <v>0</v>
      </c>
      <c r="E24" s="21">
        <f t="shared" si="1"/>
        <v>162349608</v>
      </c>
    </row>
    <row r="25" spans="1:6" ht="12.75" customHeight="1">
      <c r="A25" s="13">
        <v>120101</v>
      </c>
      <c r="B25" s="16" t="s">
        <v>28</v>
      </c>
      <c r="C25" s="17"/>
      <c r="D25" s="17">
        <v>0</v>
      </c>
      <c r="E25" s="17">
        <f t="shared" si="1"/>
        <v>0</v>
      </c>
      <c r="F25" s="18"/>
    </row>
    <row r="26" spans="1:5" ht="12.75" customHeight="1">
      <c r="A26" s="13">
        <v>120106</v>
      </c>
      <c r="B26" s="16" t="s">
        <v>29</v>
      </c>
      <c r="C26" s="18">
        <f>159281592+3068016</f>
        <v>162349608</v>
      </c>
      <c r="D26" s="17">
        <v>0</v>
      </c>
      <c r="E26" s="17">
        <f t="shared" si="1"/>
        <v>162349608</v>
      </c>
    </row>
    <row r="27" spans="1:5" ht="12.75" customHeight="1">
      <c r="A27" s="13">
        <v>120200</v>
      </c>
      <c r="B27" s="14" t="s">
        <v>581</v>
      </c>
      <c r="C27" s="2">
        <f>SUM(C28:C29)</f>
        <v>49209</v>
      </c>
      <c r="E27" s="2">
        <f>+C27+D27</f>
        <v>49209</v>
      </c>
    </row>
    <row r="28" spans="1:5" ht="12.75" customHeight="1">
      <c r="A28" s="13">
        <v>120290</v>
      </c>
      <c r="B28" s="16" t="s">
        <v>582</v>
      </c>
      <c r="C28" s="18">
        <v>49209</v>
      </c>
      <c r="D28" s="18"/>
      <c r="E28" s="18">
        <f>+C28+D28</f>
        <v>49209</v>
      </c>
    </row>
    <row r="29" spans="1:5" ht="12.75" customHeight="1">
      <c r="A29" s="13">
        <v>120800</v>
      </c>
      <c r="B29" s="14" t="s">
        <v>30</v>
      </c>
      <c r="C29" s="2">
        <f>SUM(C30:C31)</f>
        <v>0</v>
      </c>
      <c r="D29" s="2">
        <f>SUM(D30:D31)</f>
        <v>0</v>
      </c>
      <c r="E29" s="2">
        <f t="shared" si="1"/>
        <v>0</v>
      </c>
    </row>
    <row r="30" spans="1:5" ht="12.75" customHeight="1">
      <c r="A30" s="13">
        <v>120802</v>
      </c>
      <c r="B30" s="16" t="s">
        <v>31</v>
      </c>
      <c r="C30" s="18"/>
      <c r="D30" s="18">
        <v>0</v>
      </c>
      <c r="E30" s="18">
        <f t="shared" si="1"/>
        <v>0</v>
      </c>
    </row>
    <row r="31" spans="1:5" ht="12.75" customHeight="1">
      <c r="A31" s="13">
        <v>120890</v>
      </c>
      <c r="B31" s="16" t="s">
        <v>32</v>
      </c>
      <c r="C31" s="17">
        <v>0</v>
      </c>
      <c r="D31" s="17">
        <v>0</v>
      </c>
      <c r="E31" s="17">
        <f t="shared" si="1"/>
        <v>0</v>
      </c>
    </row>
    <row r="32" spans="1:6" ht="12.75" customHeight="1">
      <c r="A32" s="13">
        <v>140000</v>
      </c>
      <c r="B32" s="14" t="s">
        <v>33</v>
      </c>
      <c r="C32" s="15">
        <f>+C33+C35+C38+C41+C43+C49+C54+C59</f>
        <v>91687036</v>
      </c>
      <c r="D32" s="15">
        <f>+D33+D35+D38+D41+D49++D51+D54+D59</f>
        <v>114478439</v>
      </c>
      <c r="E32" s="15">
        <f>SUM(C32:D32)</f>
        <v>206165475</v>
      </c>
      <c r="F32" s="18"/>
    </row>
    <row r="33" spans="1:6" ht="12.75" customHeight="1">
      <c r="A33" s="13">
        <v>140100</v>
      </c>
      <c r="B33" s="19" t="s">
        <v>34</v>
      </c>
      <c r="C33" s="15">
        <f>+C34</f>
        <v>0</v>
      </c>
      <c r="D33" s="15">
        <f>SUM(D34:D34)</f>
        <v>0</v>
      </c>
      <c r="E33" s="15">
        <f t="shared" si="1"/>
        <v>0</v>
      </c>
      <c r="F33" s="18"/>
    </row>
    <row r="34" spans="1:5" ht="12.75" customHeight="1">
      <c r="A34" s="13">
        <v>140190</v>
      </c>
      <c r="B34" s="16" t="s">
        <v>35</v>
      </c>
      <c r="C34" s="17">
        <v>0</v>
      </c>
      <c r="D34" s="18">
        <v>0</v>
      </c>
      <c r="E34" s="18">
        <f t="shared" si="1"/>
        <v>0</v>
      </c>
    </row>
    <row r="35" spans="1:5" ht="12.75" customHeight="1">
      <c r="A35" s="13">
        <v>140400</v>
      </c>
      <c r="B35" s="14" t="s">
        <v>23</v>
      </c>
      <c r="C35" s="15">
        <f>SUM(C36:C37)</f>
        <v>1283937</v>
      </c>
      <c r="D35" s="2">
        <v>0</v>
      </c>
      <c r="E35" s="2">
        <f t="shared" si="1"/>
        <v>1283937</v>
      </c>
    </row>
    <row r="36" spans="1:5" ht="12.75" customHeight="1">
      <c r="A36" s="13">
        <v>140414</v>
      </c>
      <c r="B36" s="16" t="s">
        <v>36</v>
      </c>
      <c r="C36" s="17">
        <v>1283937</v>
      </c>
      <c r="D36" s="18">
        <v>0</v>
      </c>
      <c r="E36" s="18">
        <f t="shared" si="1"/>
        <v>1283937</v>
      </c>
    </row>
    <row r="37" spans="1:5" ht="12.75" customHeight="1">
      <c r="A37" s="13">
        <v>140415</v>
      </c>
      <c r="B37" s="16" t="s">
        <v>37</v>
      </c>
      <c r="C37" s="17">
        <v>0</v>
      </c>
      <c r="D37" s="18">
        <v>0</v>
      </c>
      <c r="E37" s="18">
        <f t="shared" si="1"/>
        <v>0</v>
      </c>
    </row>
    <row r="38" spans="1:5" ht="12.75" customHeight="1">
      <c r="A38" s="13">
        <v>140700</v>
      </c>
      <c r="B38" s="14" t="s">
        <v>583</v>
      </c>
      <c r="C38" s="15">
        <f>SUM(C39:C40)</f>
        <v>1028170</v>
      </c>
      <c r="D38" s="2">
        <v>0</v>
      </c>
      <c r="E38" s="2">
        <f>+C38+D38</f>
        <v>1028170</v>
      </c>
    </row>
    <row r="39" spans="1:5" ht="12.75" customHeight="1">
      <c r="A39" s="13">
        <v>140701</v>
      </c>
      <c r="B39" s="16" t="s">
        <v>584</v>
      </c>
      <c r="C39" s="17">
        <v>1028170</v>
      </c>
      <c r="D39" s="18">
        <v>0</v>
      </c>
      <c r="E39" s="18">
        <f>+C39+D39</f>
        <v>1028170</v>
      </c>
    </row>
    <row r="40" spans="1:5" ht="12.75" customHeight="1">
      <c r="A40" s="13">
        <v>140790</v>
      </c>
      <c r="B40" s="16" t="s">
        <v>585</v>
      </c>
      <c r="C40" s="17">
        <v>0</v>
      </c>
      <c r="D40" s="18"/>
      <c r="E40" s="18"/>
    </row>
    <row r="41" spans="1:5" ht="12.75" customHeight="1">
      <c r="A41" s="13">
        <v>141500</v>
      </c>
      <c r="B41" s="14" t="s">
        <v>38</v>
      </c>
      <c r="C41" s="15">
        <f>+C42</f>
        <v>0</v>
      </c>
      <c r="D41" s="2">
        <v>0</v>
      </c>
      <c r="E41" s="2">
        <f t="shared" si="1"/>
        <v>0</v>
      </c>
    </row>
    <row r="42" spans="1:5" ht="12.75" customHeight="1">
      <c r="A42" s="13">
        <v>141590</v>
      </c>
      <c r="B42" s="16" t="s">
        <v>39</v>
      </c>
      <c r="C42" s="17">
        <v>0</v>
      </c>
      <c r="D42" s="18">
        <v>0</v>
      </c>
      <c r="E42" s="18">
        <f t="shared" si="1"/>
        <v>0</v>
      </c>
    </row>
    <row r="43" spans="1:5" ht="12.75" customHeight="1">
      <c r="A43" s="13">
        <v>142000</v>
      </c>
      <c r="B43" s="14" t="s">
        <v>40</v>
      </c>
      <c r="C43" s="15">
        <f>SUM(C44:C48)</f>
        <v>83964617</v>
      </c>
      <c r="D43" s="15">
        <f>SUM(D46:D47)</f>
        <v>0</v>
      </c>
      <c r="E43" s="15">
        <f t="shared" si="1"/>
        <v>83964617</v>
      </c>
    </row>
    <row r="44" spans="1:5" ht="12.75" customHeight="1">
      <c r="A44" s="13">
        <v>142003</v>
      </c>
      <c r="B44" s="16" t="s">
        <v>41</v>
      </c>
      <c r="C44" s="17">
        <v>11227860</v>
      </c>
      <c r="D44" s="17">
        <v>0</v>
      </c>
      <c r="E44" s="17">
        <f t="shared" si="1"/>
        <v>11227860</v>
      </c>
    </row>
    <row r="45" spans="1:5" ht="12.75" customHeight="1">
      <c r="A45" s="13">
        <v>142005</v>
      </c>
      <c r="B45" s="16" t="s">
        <v>42</v>
      </c>
      <c r="C45" s="17">
        <v>72736757</v>
      </c>
      <c r="D45" s="17">
        <v>0</v>
      </c>
      <c r="E45" s="17">
        <f t="shared" si="1"/>
        <v>72736757</v>
      </c>
    </row>
    <row r="46" spans="1:5" ht="12.75" customHeight="1">
      <c r="A46" s="13">
        <v>142012</v>
      </c>
      <c r="B46" s="16" t="s">
        <v>43</v>
      </c>
      <c r="C46" s="17"/>
      <c r="D46" s="18">
        <v>0</v>
      </c>
      <c r="E46" s="18">
        <f t="shared" si="1"/>
        <v>0</v>
      </c>
    </row>
    <row r="47" spans="1:5" ht="12.75" customHeight="1">
      <c r="A47" s="13">
        <v>142013</v>
      </c>
      <c r="B47" s="16" t="s">
        <v>44</v>
      </c>
      <c r="C47" s="17"/>
      <c r="D47" s="18">
        <v>0</v>
      </c>
      <c r="E47" s="18">
        <f t="shared" si="1"/>
        <v>0</v>
      </c>
    </row>
    <row r="48" spans="1:5" ht="12.75" customHeight="1">
      <c r="A48" s="13">
        <v>142090</v>
      </c>
      <c r="B48" s="16" t="s">
        <v>45</v>
      </c>
      <c r="C48" s="17">
        <v>0</v>
      </c>
      <c r="D48" s="18">
        <v>0</v>
      </c>
      <c r="E48" s="18">
        <f t="shared" si="1"/>
        <v>0</v>
      </c>
    </row>
    <row r="49" spans="1:5" ht="12.75" customHeight="1">
      <c r="A49" s="13">
        <v>142200</v>
      </c>
      <c r="B49" s="14" t="s">
        <v>586</v>
      </c>
      <c r="C49" s="15">
        <f>+C50</f>
        <v>434</v>
      </c>
      <c r="D49" s="15"/>
      <c r="E49" s="2">
        <f>SUM(C49:D49)</f>
        <v>434</v>
      </c>
    </row>
    <row r="50" spans="1:5" ht="12.75" customHeight="1">
      <c r="A50" s="13">
        <v>142250</v>
      </c>
      <c r="B50" s="16" t="s">
        <v>587</v>
      </c>
      <c r="C50" s="17">
        <v>434</v>
      </c>
      <c r="D50" s="18"/>
      <c r="E50" s="18">
        <f>SUM(C50:D50)</f>
        <v>434</v>
      </c>
    </row>
    <row r="51" spans="1:5" ht="12.75" customHeight="1">
      <c r="A51" s="13">
        <v>142500</v>
      </c>
      <c r="B51" s="14" t="s">
        <v>46</v>
      </c>
      <c r="C51" s="15">
        <v>0</v>
      </c>
      <c r="D51" s="15">
        <f>SUM(D52:D53)</f>
        <v>114478439</v>
      </c>
      <c r="E51" s="15">
        <f t="shared" si="1"/>
        <v>114478439</v>
      </c>
    </row>
    <row r="52" spans="1:5" ht="12.75" customHeight="1">
      <c r="A52" s="13">
        <v>142503</v>
      </c>
      <c r="B52" s="16" t="s">
        <v>47</v>
      </c>
      <c r="C52" s="15"/>
      <c r="D52" s="17">
        <v>41706415</v>
      </c>
      <c r="E52" s="17">
        <f>SUM(C52:D52)</f>
        <v>41706415</v>
      </c>
    </row>
    <row r="53" spans="1:5" ht="12.75" customHeight="1">
      <c r="A53" s="13">
        <v>142504</v>
      </c>
      <c r="B53" s="16" t="s">
        <v>48</v>
      </c>
      <c r="C53" s="22"/>
      <c r="D53" s="17">
        <f>72746939+25085</f>
        <v>72772024</v>
      </c>
      <c r="E53" s="17">
        <f>SUM(C53:D53)</f>
        <v>72772024</v>
      </c>
    </row>
    <row r="54" spans="1:5" ht="12.75" customHeight="1">
      <c r="A54" s="13">
        <v>147000</v>
      </c>
      <c r="B54" s="14" t="s">
        <v>49</v>
      </c>
      <c r="C54" s="2">
        <f>SUM(C55:C58)</f>
        <v>5462498</v>
      </c>
      <c r="D54" s="15">
        <f>SUM(D55:D55)</f>
        <v>0</v>
      </c>
      <c r="E54" s="15">
        <f aca="true" t="shared" si="2" ref="E54:E125">+C54+D54</f>
        <v>5462498</v>
      </c>
    </row>
    <row r="55" spans="1:5" ht="12.75" customHeight="1">
      <c r="A55" s="13">
        <v>147002</v>
      </c>
      <c r="B55" s="16" t="s">
        <v>50</v>
      </c>
      <c r="C55" s="18">
        <f>60872+10173</f>
        <v>71045</v>
      </c>
      <c r="D55" s="17">
        <v>0</v>
      </c>
      <c r="E55" s="17">
        <f t="shared" si="2"/>
        <v>71045</v>
      </c>
    </row>
    <row r="56" spans="1:5" ht="12.75" customHeight="1">
      <c r="A56" s="13">
        <v>147013</v>
      </c>
      <c r="B56" s="16" t="s">
        <v>51</v>
      </c>
      <c r="C56" s="18">
        <v>100246</v>
      </c>
      <c r="D56" s="15">
        <v>0</v>
      </c>
      <c r="E56" s="17">
        <f t="shared" si="2"/>
        <v>100246</v>
      </c>
    </row>
    <row r="57" spans="1:5" ht="12.75" customHeight="1">
      <c r="A57" s="13">
        <v>147028</v>
      </c>
      <c r="B57" s="16" t="s">
        <v>569</v>
      </c>
      <c r="C57" s="18">
        <v>2918</v>
      </c>
      <c r="D57" s="15">
        <v>0</v>
      </c>
      <c r="E57" s="17">
        <f>+C57+D57</f>
        <v>2918</v>
      </c>
    </row>
    <row r="58" spans="1:5" ht="12" customHeight="1">
      <c r="A58" s="13">
        <v>147090</v>
      </c>
      <c r="B58" s="16" t="s">
        <v>52</v>
      </c>
      <c r="C58" s="18">
        <v>5288289</v>
      </c>
      <c r="D58" s="17">
        <v>0</v>
      </c>
      <c r="E58" s="17">
        <f t="shared" si="2"/>
        <v>5288289</v>
      </c>
    </row>
    <row r="59" spans="1:5" ht="12.75" customHeight="1">
      <c r="A59" s="13">
        <v>148000</v>
      </c>
      <c r="B59" s="14" t="s">
        <v>53</v>
      </c>
      <c r="C59" s="2">
        <f>SUM(C60:C63)</f>
        <v>-52620</v>
      </c>
      <c r="D59" s="2">
        <f>SUM(D60:D63)</f>
        <v>0</v>
      </c>
      <c r="E59" s="2">
        <f t="shared" si="2"/>
        <v>-52620</v>
      </c>
    </row>
    <row r="60" spans="1:5" ht="12.75" customHeight="1">
      <c r="A60" s="13">
        <v>148006</v>
      </c>
      <c r="B60" s="16" t="s">
        <v>588</v>
      </c>
      <c r="C60" s="18">
        <v>0</v>
      </c>
      <c r="D60" s="18"/>
      <c r="E60" s="18">
        <f>+C60+D60</f>
        <v>0</v>
      </c>
    </row>
    <row r="61" spans="1:5" ht="12.75" customHeight="1">
      <c r="A61" s="13">
        <v>148009</v>
      </c>
      <c r="B61" s="16" t="s">
        <v>54</v>
      </c>
      <c r="C61" s="18">
        <v>0</v>
      </c>
      <c r="D61" s="18">
        <v>0</v>
      </c>
      <c r="E61" s="18">
        <f t="shared" si="2"/>
        <v>0</v>
      </c>
    </row>
    <row r="62" spans="1:5" ht="12.75" customHeight="1">
      <c r="A62" s="13">
        <v>148012</v>
      </c>
      <c r="B62" s="16" t="s">
        <v>612</v>
      </c>
      <c r="C62" s="18">
        <v>-52620</v>
      </c>
      <c r="D62" s="18">
        <v>0</v>
      </c>
      <c r="E62" s="18">
        <f>+C62+D62</f>
        <v>-52620</v>
      </c>
    </row>
    <row r="63" spans="1:5" ht="12.75" customHeight="1">
      <c r="A63" s="13">
        <v>148090</v>
      </c>
      <c r="B63" s="16" t="s">
        <v>55</v>
      </c>
      <c r="C63" s="18"/>
      <c r="D63" s="17">
        <v>0</v>
      </c>
      <c r="E63" s="17">
        <f>+C63+D63</f>
        <v>0</v>
      </c>
    </row>
    <row r="64" spans="1:6" ht="12.75" customHeight="1">
      <c r="A64" s="13">
        <v>160000</v>
      </c>
      <c r="B64" s="14" t="s">
        <v>56</v>
      </c>
      <c r="C64" s="23">
        <f>C65+C68+C72+C76+C84+C88+C98+C103+C108+C114+C117+C120</f>
        <v>0</v>
      </c>
      <c r="D64" s="23">
        <f>D65+D68+D72+D74+D76+D84+D88+D98+D103+D108+D114+D117+D120</f>
        <v>27834893</v>
      </c>
      <c r="E64" s="23">
        <f t="shared" si="2"/>
        <v>27834893</v>
      </c>
      <c r="F64" s="18"/>
    </row>
    <row r="65" spans="1:6" ht="12.75" customHeight="1">
      <c r="A65" s="13">
        <v>160500</v>
      </c>
      <c r="B65" s="14" t="s">
        <v>57</v>
      </c>
      <c r="C65" s="23">
        <f>SUM(C66:C67)</f>
        <v>0</v>
      </c>
      <c r="D65" s="23">
        <f>SUM(D66:D67)</f>
        <v>15971316</v>
      </c>
      <c r="E65" s="23">
        <f t="shared" si="2"/>
        <v>15971316</v>
      </c>
      <c r="F65" s="18"/>
    </row>
    <row r="66" spans="1:5" ht="12.75" customHeight="1">
      <c r="A66" s="13">
        <v>160501</v>
      </c>
      <c r="B66" s="16" t="s">
        <v>58</v>
      </c>
      <c r="C66" s="24">
        <v>0</v>
      </c>
      <c r="D66" s="24">
        <f>15160386+25155</f>
        <v>15185541</v>
      </c>
      <c r="E66" s="24">
        <f t="shared" si="2"/>
        <v>15185541</v>
      </c>
    </row>
    <row r="67" spans="1:5" ht="12.75" customHeight="1">
      <c r="A67" s="13">
        <v>160502</v>
      </c>
      <c r="B67" s="16" t="s">
        <v>59</v>
      </c>
      <c r="C67" s="24">
        <v>0</v>
      </c>
      <c r="D67" s="24">
        <v>785775</v>
      </c>
      <c r="E67" s="24">
        <f t="shared" si="2"/>
        <v>785775</v>
      </c>
    </row>
    <row r="68" spans="1:5" ht="12.75" customHeight="1">
      <c r="A68" s="13">
        <v>161500</v>
      </c>
      <c r="B68" s="14" t="s">
        <v>60</v>
      </c>
      <c r="C68" s="23">
        <f>SUM(C69:C71)</f>
        <v>0</v>
      </c>
      <c r="D68" s="23">
        <f>SUM(D69:D71)</f>
        <v>0</v>
      </c>
      <c r="E68" s="23">
        <f t="shared" si="2"/>
        <v>0</v>
      </c>
    </row>
    <row r="69" spans="1:5" ht="12.75" customHeight="1">
      <c r="A69" s="13">
        <v>161501</v>
      </c>
      <c r="B69" s="16" t="s">
        <v>547</v>
      </c>
      <c r="C69" s="24">
        <v>0</v>
      </c>
      <c r="D69" s="24"/>
      <c r="E69" s="24">
        <f t="shared" si="2"/>
        <v>0</v>
      </c>
    </row>
    <row r="70" spans="1:5" ht="12.75" customHeight="1">
      <c r="A70" s="13">
        <v>161505</v>
      </c>
      <c r="B70" s="16" t="s">
        <v>61</v>
      </c>
      <c r="C70" s="24">
        <v>0</v>
      </c>
      <c r="D70" s="24">
        <v>0</v>
      </c>
      <c r="E70" s="24">
        <f t="shared" si="2"/>
        <v>0</v>
      </c>
    </row>
    <row r="71" spans="1:5" ht="12.75" customHeight="1">
      <c r="A71" s="13">
        <v>161590</v>
      </c>
      <c r="B71" s="16" t="s">
        <v>62</v>
      </c>
      <c r="C71" s="24">
        <v>0</v>
      </c>
      <c r="D71" s="24">
        <v>0</v>
      </c>
      <c r="E71" s="24">
        <f t="shared" si="2"/>
        <v>0</v>
      </c>
    </row>
    <row r="72" spans="1:5" ht="12.75" customHeight="1">
      <c r="A72" s="13">
        <v>162000</v>
      </c>
      <c r="B72" s="14" t="s">
        <v>63</v>
      </c>
      <c r="C72" s="23">
        <f>+C73</f>
        <v>0</v>
      </c>
      <c r="D72" s="23">
        <f>+D73</f>
        <v>0</v>
      </c>
      <c r="E72" s="23">
        <f t="shared" si="2"/>
        <v>0</v>
      </c>
    </row>
    <row r="73" spans="1:5" ht="12.75" customHeight="1">
      <c r="A73" s="13">
        <v>162005</v>
      </c>
      <c r="B73" s="16" t="s">
        <v>64</v>
      </c>
      <c r="C73" s="24">
        <v>0</v>
      </c>
      <c r="D73" s="24">
        <v>0</v>
      </c>
      <c r="E73" s="24">
        <f t="shared" si="2"/>
        <v>0</v>
      </c>
    </row>
    <row r="74" spans="1:5" ht="12.75" customHeight="1">
      <c r="A74" s="13">
        <v>162500</v>
      </c>
      <c r="B74" s="14" t="s">
        <v>65</v>
      </c>
      <c r="C74" s="23">
        <f>+C75</f>
        <v>0</v>
      </c>
      <c r="D74" s="23">
        <f>+D75</f>
        <v>0</v>
      </c>
      <c r="E74" s="23">
        <f t="shared" si="2"/>
        <v>0</v>
      </c>
    </row>
    <row r="75" spans="1:5" ht="12.75" customHeight="1">
      <c r="A75" s="13">
        <v>162505</v>
      </c>
      <c r="B75" s="16" t="s">
        <v>66</v>
      </c>
      <c r="C75" s="24">
        <v>0</v>
      </c>
      <c r="D75" s="24">
        <v>0</v>
      </c>
      <c r="E75" s="24">
        <f t="shared" si="2"/>
        <v>0</v>
      </c>
    </row>
    <row r="76" spans="1:5" ht="12.75" customHeight="1">
      <c r="A76" s="13">
        <v>163500</v>
      </c>
      <c r="B76" s="19" t="s">
        <v>67</v>
      </c>
      <c r="C76" s="23">
        <f>SUM(C77:C83)</f>
        <v>0</v>
      </c>
      <c r="D76" s="23">
        <f>SUM(D77:D83)</f>
        <v>298667</v>
      </c>
      <c r="E76" s="23">
        <f t="shared" si="2"/>
        <v>298667</v>
      </c>
    </row>
    <row r="77" spans="1:5" ht="12.75" customHeight="1">
      <c r="A77" s="13">
        <v>163501</v>
      </c>
      <c r="B77" s="16" t="s">
        <v>68</v>
      </c>
      <c r="C77" s="24">
        <v>0</v>
      </c>
      <c r="D77" s="24">
        <v>294</v>
      </c>
      <c r="E77" s="24">
        <f t="shared" si="2"/>
        <v>294</v>
      </c>
    </row>
    <row r="78" spans="1:5" ht="12.75" customHeight="1">
      <c r="A78" s="13">
        <v>163502</v>
      </c>
      <c r="B78" s="16" t="s">
        <v>69</v>
      </c>
      <c r="C78" s="24">
        <v>0</v>
      </c>
      <c r="D78" s="24"/>
      <c r="E78" s="24">
        <f t="shared" si="2"/>
        <v>0</v>
      </c>
    </row>
    <row r="79" spans="1:5" ht="12.75" customHeight="1">
      <c r="A79" s="13">
        <v>163503</v>
      </c>
      <c r="B79" s="16" t="s">
        <v>70</v>
      </c>
      <c r="C79" s="24">
        <v>0</v>
      </c>
      <c r="D79" s="24">
        <f>74974+107996</f>
        <v>182970</v>
      </c>
      <c r="E79" s="24">
        <f t="shared" si="2"/>
        <v>182970</v>
      </c>
    </row>
    <row r="80" spans="1:5" ht="12.75" customHeight="1">
      <c r="A80" s="13">
        <v>163504</v>
      </c>
      <c r="B80" s="25" t="s">
        <v>66</v>
      </c>
      <c r="C80" s="24">
        <v>0</v>
      </c>
      <c r="D80" s="24">
        <v>107274</v>
      </c>
      <c r="E80" s="24">
        <f t="shared" si="2"/>
        <v>107274</v>
      </c>
    </row>
    <row r="81" spans="1:5" ht="12.75" customHeight="1">
      <c r="A81" s="13">
        <v>163505</v>
      </c>
      <c r="B81" s="25" t="s">
        <v>71</v>
      </c>
      <c r="C81" s="24">
        <v>0</v>
      </c>
      <c r="D81" s="24">
        <v>7528</v>
      </c>
      <c r="E81" s="24">
        <f t="shared" si="2"/>
        <v>7528</v>
      </c>
    </row>
    <row r="82" spans="1:5" ht="12.75" customHeight="1">
      <c r="A82" s="13">
        <v>163511</v>
      </c>
      <c r="B82" s="10" t="s">
        <v>589</v>
      </c>
      <c r="C82" s="24">
        <v>0</v>
      </c>
      <c r="D82" s="24">
        <v>601</v>
      </c>
      <c r="E82" s="24">
        <f t="shared" si="2"/>
        <v>601</v>
      </c>
    </row>
    <row r="83" spans="1:5" ht="12.75" customHeight="1">
      <c r="A83" s="13">
        <v>163599</v>
      </c>
      <c r="B83" s="10" t="s">
        <v>72</v>
      </c>
      <c r="C83" s="24">
        <v>0</v>
      </c>
      <c r="D83" s="24"/>
      <c r="E83" s="24">
        <f t="shared" si="2"/>
        <v>0</v>
      </c>
    </row>
    <row r="84" spans="1:5" ht="12.75" customHeight="1">
      <c r="A84" s="13">
        <v>164000</v>
      </c>
      <c r="B84" s="26" t="s">
        <v>73</v>
      </c>
      <c r="C84" s="23">
        <f>SUM(C85:C87)</f>
        <v>0</v>
      </c>
      <c r="D84" s="23">
        <f>SUM(D85:D86)</f>
        <v>6642367</v>
      </c>
      <c r="E84" s="23">
        <f t="shared" si="2"/>
        <v>6642367</v>
      </c>
    </row>
    <row r="85" spans="1:5" ht="12.75" customHeight="1">
      <c r="A85" s="13">
        <v>164001</v>
      </c>
      <c r="B85" s="27" t="s">
        <v>74</v>
      </c>
      <c r="C85" s="24">
        <v>0</v>
      </c>
      <c r="D85" s="24">
        <f>5767479+868273</f>
        <v>6635752</v>
      </c>
      <c r="E85" s="24">
        <f t="shared" si="2"/>
        <v>6635752</v>
      </c>
    </row>
    <row r="86" spans="1:5" ht="12.75" customHeight="1">
      <c r="A86" s="13">
        <v>164002</v>
      </c>
      <c r="B86" s="27" t="s">
        <v>590</v>
      </c>
      <c r="C86" s="24"/>
      <c r="D86" s="24">
        <v>6615</v>
      </c>
      <c r="E86" s="24">
        <f t="shared" si="2"/>
        <v>6615</v>
      </c>
    </row>
    <row r="87" spans="1:5" ht="12.75" customHeight="1">
      <c r="A87" s="13">
        <v>164099</v>
      </c>
      <c r="B87" s="10" t="s">
        <v>72</v>
      </c>
      <c r="C87" s="24">
        <v>0</v>
      </c>
      <c r="D87" s="24"/>
      <c r="E87" s="24">
        <f t="shared" si="2"/>
        <v>0</v>
      </c>
    </row>
    <row r="88" spans="1:5" ht="12.75" customHeight="1">
      <c r="A88" s="13">
        <v>165500</v>
      </c>
      <c r="B88" s="26" t="s">
        <v>75</v>
      </c>
      <c r="C88" s="23">
        <f>SUM(C89:C97)</f>
        <v>0</v>
      </c>
      <c r="D88" s="23">
        <f>SUM(D89:D97)</f>
        <v>567985</v>
      </c>
      <c r="E88" s="23">
        <f t="shared" si="2"/>
        <v>567985</v>
      </c>
    </row>
    <row r="89" spans="1:5" ht="12.75" customHeight="1">
      <c r="A89" s="13">
        <v>165501</v>
      </c>
      <c r="B89" s="10" t="s">
        <v>76</v>
      </c>
      <c r="C89" s="24">
        <v>0</v>
      </c>
      <c r="D89" s="24">
        <v>2816</v>
      </c>
      <c r="E89" s="24">
        <f t="shared" si="2"/>
        <v>2816</v>
      </c>
    </row>
    <row r="90" spans="1:5" ht="12.75" customHeight="1">
      <c r="A90" s="13">
        <v>165504</v>
      </c>
      <c r="B90" s="10" t="s">
        <v>77</v>
      </c>
      <c r="C90" s="24">
        <v>0</v>
      </c>
      <c r="D90" s="24"/>
      <c r="E90" s="24">
        <f t="shared" si="2"/>
        <v>0</v>
      </c>
    </row>
    <row r="91" spans="1:5" ht="12.75" customHeight="1">
      <c r="A91" s="13">
        <v>165505</v>
      </c>
      <c r="B91" s="10" t="s">
        <v>78</v>
      </c>
      <c r="C91" s="24">
        <v>0</v>
      </c>
      <c r="D91" s="24">
        <v>5498</v>
      </c>
      <c r="E91" s="24">
        <f t="shared" si="2"/>
        <v>5498</v>
      </c>
    </row>
    <row r="92" spans="1:5" ht="12.75" customHeight="1">
      <c r="A92" s="13">
        <v>165506</v>
      </c>
      <c r="B92" s="27" t="s">
        <v>79</v>
      </c>
      <c r="C92" s="24">
        <v>0</v>
      </c>
      <c r="D92" s="24">
        <f>5960+56306</f>
        <v>62266</v>
      </c>
      <c r="E92" s="24">
        <f t="shared" si="2"/>
        <v>62266</v>
      </c>
    </row>
    <row r="93" spans="1:5" ht="12.75" customHeight="1">
      <c r="A93" s="13">
        <v>165509</v>
      </c>
      <c r="B93" s="27" t="s">
        <v>591</v>
      </c>
      <c r="C93" s="24">
        <v>0</v>
      </c>
      <c r="D93" s="24">
        <v>473297</v>
      </c>
      <c r="E93" s="24">
        <f>SUM(C93:D93)</f>
        <v>473297</v>
      </c>
    </row>
    <row r="94" spans="1:5" ht="12.75" customHeight="1">
      <c r="A94" s="13">
        <v>165510</v>
      </c>
      <c r="B94" s="10" t="s">
        <v>80</v>
      </c>
      <c r="C94" s="24">
        <v>0</v>
      </c>
      <c r="D94" s="24">
        <v>3812</v>
      </c>
      <c r="E94" s="24">
        <f t="shared" si="2"/>
        <v>3812</v>
      </c>
    </row>
    <row r="95" spans="1:5" ht="12.75" customHeight="1">
      <c r="A95" s="13">
        <v>165511</v>
      </c>
      <c r="B95" s="10" t="s">
        <v>81</v>
      </c>
      <c r="C95" s="24">
        <v>0</v>
      </c>
      <c r="D95" s="24">
        <f>6705+13591</f>
        <v>20296</v>
      </c>
      <c r="E95" s="24">
        <f t="shared" si="2"/>
        <v>20296</v>
      </c>
    </row>
    <row r="96" spans="1:5" ht="12.75" customHeight="1">
      <c r="A96" s="13">
        <v>165590</v>
      </c>
      <c r="B96" s="10" t="s">
        <v>82</v>
      </c>
      <c r="C96" s="24">
        <v>0</v>
      </c>
      <c r="D96" s="24"/>
      <c r="E96" s="24">
        <f t="shared" si="2"/>
        <v>0</v>
      </c>
    </row>
    <row r="97" spans="1:5" ht="12.75" customHeight="1">
      <c r="A97" s="13">
        <v>165599</v>
      </c>
      <c r="B97" s="10" t="s">
        <v>72</v>
      </c>
      <c r="C97" s="24">
        <v>0</v>
      </c>
      <c r="D97" s="24"/>
      <c r="E97" s="24">
        <f t="shared" si="2"/>
        <v>0</v>
      </c>
    </row>
    <row r="98" spans="1:5" ht="12.75" customHeight="1">
      <c r="A98" s="13">
        <v>166000</v>
      </c>
      <c r="B98" s="26" t="s">
        <v>83</v>
      </c>
      <c r="C98" s="23">
        <f>SUM(C101:C102)</f>
        <v>0</v>
      </c>
      <c r="D98" s="23">
        <f>SUM(D99:D102)</f>
        <v>413329</v>
      </c>
      <c r="E98" s="23">
        <f t="shared" si="2"/>
        <v>413329</v>
      </c>
    </row>
    <row r="99" spans="1:5" ht="12.75" customHeight="1">
      <c r="A99" s="13">
        <v>166001</v>
      </c>
      <c r="B99" s="10" t="s">
        <v>592</v>
      </c>
      <c r="C99" s="24">
        <v>0</v>
      </c>
      <c r="D99" s="24">
        <v>6936</v>
      </c>
      <c r="E99" s="24">
        <f>+C99+D99</f>
        <v>6936</v>
      </c>
    </row>
    <row r="100" spans="1:5" ht="12.75" customHeight="1">
      <c r="A100" s="13">
        <v>166002</v>
      </c>
      <c r="B100" s="10" t="s">
        <v>593</v>
      </c>
      <c r="C100" s="24">
        <v>0</v>
      </c>
      <c r="D100" s="24">
        <v>406393</v>
      </c>
      <c r="E100" s="24">
        <f>+C100+D100</f>
        <v>406393</v>
      </c>
    </row>
    <row r="101" spans="1:5" ht="12.75" customHeight="1">
      <c r="A101" s="13">
        <v>166003</v>
      </c>
      <c r="B101" s="10" t="s">
        <v>84</v>
      </c>
      <c r="C101" s="24">
        <v>0</v>
      </c>
      <c r="D101" s="24">
        <v>0</v>
      </c>
      <c r="E101" s="24">
        <f t="shared" si="2"/>
        <v>0</v>
      </c>
    </row>
    <row r="102" spans="1:5" ht="12.75" customHeight="1">
      <c r="A102" s="13">
        <v>166099</v>
      </c>
      <c r="B102" s="10" t="s">
        <v>72</v>
      </c>
      <c r="C102" s="24">
        <v>0</v>
      </c>
      <c r="D102" s="24">
        <v>0</v>
      </c>
      <c r="E102" s="24">
        <f t="shared" si="2"/>
        <v>0</v>
      </c>
    </row>
    <row r="103" spans="1:5" ht="12.75" customHeight="1">
      <c r="A103" s="13">
        <v>166500</v>
      </c>
      <c r="B103" s="26" t="s">
        <v>85</v>
      </c>
      <c r="C103" s="23">
        <f>SUM(C104:C107)</f>
        <v>0</v>
      </c>
      <c r="D103" s="23">
        <f>SUM(D104:D107)</f>
        <v>1401417</v>
      </c>
      <c r="E103" s="23">
        <f t="shared" si="2"/>
        <v>1401417</v>
      </c>
    </row>
    <row r="104" spans="1:5" ht="12.75" customHeight="1">
      <c r="A104" s="13">
        <v>166501</v>
      </c>
      <c r="B104" s="16" t="s">
        <v>86</v>
      </c>
      <c r="C104" s="24">
        <v>0</v>
      </c>
      <c r="D104" s="24">
        <f>866897+119890+137809</f>
        <v>1124596</v>
      </c>
      <c r="E104" s="24">
        <f t="shared" si="2"/>
        <v>1124596</v>
      </c>
    </row>
    <row r="105" spans="1:5" ht="12.75" customHeight="1">
      <c r="A105" s="13">
        <v>166502</v>
      </c>
      <c r="B105" s="16" t="s">
        <v>87</v>
      </c>
      <c r="C105" s="24">
        <v>0</v>
      </c>
      <c r="D105" s="24">
        <f>69668+107691+99462</f>
        <v>276821</v>
      </c>
      <c r="E105" s="24">
        <f t="shared" si="2"/>
        <v>276821</v>
      </c>
    </row>
    <row r="106" spans="1:5" ht="12.75" customHeight="1">
      <c r="A106" s="13">
        <v>166590</v>
      </c>
      <c r="B106" s="16" t="s">
        <v>88</v>
      </c>
      <c r="C106" s="24">
        <v>0</v>
      </c>
      <c r="D106" s="24"/>
      <c r="E106" s="24">
        <f t="shared" si="2"/>
        <v>0</v>
      </c>
    </row>
    <row r="107" spans="1:5" ht="12.75" customHeight="1">
      <c r="A107" s="13">
        <v>166599</v>
      </c>
      <c r="B107" s="10" t="s">
        <v>89</v>
      </c>
      <c r="C107" s="24">
        <v>0</v>
      </c>
      <c r="D107" s="24"/>
      <c r="E107" s="24">
        <f t="shared" si="2"/>
        <v>0</v>
      </c>
    </row>
    <row r="108" spans="1:5" ht="12.75" customHeight="1">
      <c r="A108" s="13">
        <v>167000</v>
      </c>
      <c r="B108" s="28" t="s">
        <v>90</v>
      </c>
      <c r="C108" s="23">
        <f>SUM(C109:C113)</f>
        <v>0</v>
      </c>
      <c r="D108" s="23">
        <f>SUM(D109:D113)</f>
        <v>3074850</v>
      </c>
      <c r="E108" s="23">
        <f t="shared" si="2"/>
        <v>3074850</v>
      </c>
    </row>
    <row r="109" spans="1:5" ht="12.75" customHeight="1">
      <c r="A109" s="13">
        <v>167001</v>
      </c>
      <c r="B109" s="10" t="s">
        <v>91</v>
      </c>
      <c r="C109" s="17">
        <v>0</v>
      </c>
      <c r="D109" s="17">
        <f>65906+67907+24110</f>
        <v>157923</v>
      </c>
      <c r="E109" s="17">
        <f t="shared" si="2"/>
        <v>157923</v>
      </c>
    </row>
    <row r="110" spans="1:5" ht="12.75" customHeight="1">
      <c r="A110" s="13">
        <v>167002</v>
      </c>
      <c r="B110" s="10" t="s">
        <v>92</v>
      </c>
      <c r="C110" s="17">
        <v>0</v>
      </c>
      <c r="D110" s="17">
        <f>2000759+332364+583804</f>
        <v>2916927</v>
      </c>
      <c r="E110" s="17">
        <f t="shared" si="2"/>
        <v>2916927</v>
      </c>
    </row>
    <row r="111" spans="1:5" ht="12.75" customHeight="1">
      <c r="A111" s="13">
        <v>167003</v>
      </c>
      <c r="B111" s="10" t="s">
        <v>93</v>
      </c>
      <c r="C111" s="17">
        <v>0</v>
      </c>
      <c r="D111" s="17"/>
      <c r="E111" s="17">
        <f t="shared" si="2"/>
        <v>0</v>
      </c>
    </row>
    <row r="112" spans="1:5" ht="12.75" customHeight="1">
      <c r="A112" s="13">
        <v>167090</v>
      </c>
      <c r="B112" s="10" t="s">
        <v>94</v>
      </c>
      <c r="C112" s="17">
        <v>0</v>
      </c>
      <c r="D112" s="17"/>
      <c r="E112" s="17">
        <f t="shared" si="2"/>
        <v>0</v>
      </c>
    </row>
    <row r="113" spans="1:5" ht="12.75" customHeight="1">
      <c r="A113" s="13">
        <v>167099</v>
      </c>
      <c r="B113" s="10" t="s">
        <v>95</v>
      </c>
      <c r="C113" s="17">
        <v>0</v>
      </c>
      <c r="D113" s="17"/>
      <c r="E113" s="17">
        <f t="shared" si="2"/>
        <v>0</v>
      </c>
    </row>
    <row r="114" spans="1:5" ht="12.75" customHeight="1">
      <c r="A114" s="13">
        <v>167500</v>
      </c>
      <c r="B114" s="26" t="s">
        <v>96</v>
      </c>
      <c r="C114" s="15">
        <f>SUM(C115:C116)</f>
        <v>0</v>
      </c>
      <c r="D114" s="15">
        <f>SUM(D115:D116)</f>
        <v>540593</v>
      </c>
      <c r="E114" s="15">
        <f t="shared" si="2"/>
        <v>540593</v>
      </c>
    </row>
    <row r="115" spans="1:5" ht="12.75" customHeight="1">
      <c r="A115" s="13">
        <v>167502</v>
      </c>
      <c r="B115" s="10" t="s">
        <v>97</v>
      </c>
      <c r="C115" s="17">
        <v>0</v>
      </c>
      <c r="D115" s="17">
        <f>402211+60893+77489</f>
        <v>540593</v>
      </c>
      <c r="E115" s="17">
        <f t="shared" si="2"/>
        <v>540593</v>
      </c>
    </row>
    <row r="116" spans="1:5" ht="12.75" customHeight="1">
      <c r="A116" s="13">
        <v>167599</v>
      </c>
      <c r="B116" s="27" t="s">
        <v>72</v>
      </c>
      <c r="C116" s="17">
        <v>0</v>
      </c>
      <c r="D116" s="17"/>
      <c r="E116" s="17">
        <f t="shared" si="2"/>
        <v>0</v>
      </c>
    </row>
    <row r="117" spans="1:5" ht="12.75" customHeight="1">
      <c r="A117" s="13">
        <v>168000</v>
      </c>
      <c r="B117" s="29" t="s">
        <v>98</v>
      </c>
      <c r="C117" s="15">
        <f>SUM(C118:C119)</f>
        <v>0</v>
      </c>
      <c r="D117" s="15">
        <f>SUM(D118:D119)</f>
        <v>10867</v>
      </c>
      <c r="E117" s="15">
        <f t="shared" si="2"/>
        <v>10867</v>
      </c>
    </row>
    <row r="118" spans="1:5" ht="12.75" customHeight="1">
      <c r="A118" s="13">
        <v>168002</v>
      </c>
      <c r="B118" s="27" t="s">
        <v>99</v>
      </c>
      <c r="C118" s="17">
        <v>0</v>
      </c>
      <c r="D118" s="17">
        <f>6262+4605</f>
        <v>10867</v>
      </c>
      <c r="E118" s="17">
        <f t="shared" si="2"/>
        <v>10867</v>
      </c>
    </row>
    <row r="119" spans="1:5" ht="12.75" customHeight="1">
      <c r="A119" s="13">
        <v>168099</v>
      </c>
      <c r="B119" s="27" t="s">
        <v>72</v>
      </c>
      <c r="C119" s="17">
        <v>0</v>
      </c>
      <c r="D119" s="17"/>
      <c r="E119" s="17">
        <f t="shared" si="2"/>
        <v>0</v>
      </c>
    </row>
    <row r="120" spans="1:5" ht="12.75" customHeight="1">
      <c r="A120" s="13">
        <v>168500</v>
      </c>
      <c r="B120" s="28" t="s">
        <v>100</v>
      </c>
      <c r="C120" s="30">
        <f>SUM(C121:C128)</f>
        <v>0</v>
      </c>
      <c r="D120" s="30">
        <f>SUM(D121:D128)</f>
        <v>-1086498</v>
      </c>
      <c r="E120" s="30">
        <f t="shared" si="2"/>
        <v>-1086498</v>
      </c>
    </row>
    <row r="121" spans="1:5" ht="12.75" customHeight="1">
      <c r="A121" s="13">
        <v>168501</v>
      </c>
      <c r="B121" s="27" t="s">
        <v>101</v>
      </c>
      <c r="C121" s="24">
        <v>0</v>
      </c>
      <c r="D121" s="24">
        <v>-113917</v>
      </c>
      <c r="E121" s="24">
        <f t="shared" si="2"/>
        <v>-113917</v>
      </c>
    </row>
    <row r="122" spans="1:5" ht="12.75" customHeight="1">
      <c r="A122" s="13">
        <v>168504</v>
      </c>
      <c r="B122" s="27" t="s">
        <v>68</v>
      </c>
      <c r="C122" s="24">
        <v>0</v>
      </c>
      <c r="D122" s="24">
        <f>-70-3818-53492</f>
        <v>-57380</v>
      </c>
      <c r="E122" s="24">
        <f t="shared" si="2"/>
        <v>-57380</v>
      </c>
    </row>
    <row r="123" spans="1:5" ht="12.75" customHeight="1">
      <c r="A123" s="13">
        <v>168505</v>
      </c>
      <c r="B123" s="27" t="s">
        <v>102</v>
      </c>
      <c r="C123" s="24">
        <v>0</v>
      </c>
      <c r="D123" s="24">
        <v>-72012</v>
      </c>
      <c r="E123" s="24">
        <f t="shared" si="2"/>
        <v>-72012</v>
      </c>
    </row>
    <row r="124" spans="1:5" ht="12.75" customHeight="1">
      <c r="A124" s="13">
        <v>168506</v>
      </c>
      <c r="B124" s="27" t="s">
        <v>103</v>
      </c>
      <c r="C124" s="24">
        <v>0</v>
      </c>
      <c r="D124" s="24">
        <f>-5148-166585-61502</f>
        <v>-233235</v>
      </c>
      <c r="E124" s="24">
        <f t="shared" si="2"/>
        <v>-233235</v>
      </c>
    </row>
    <row r="125" spans="1:5" ht="12.75" customHeight="1">
      <c r="A125" s="13">
        <v>168507</v>
      </c>
      <c r="B125" s="27" t="s">
        <v>66</v>
      </c>
      <c r="C125" s="24">
        <v>0</v>
      </c>
      <c r="D125" s="24">
        <f>-9406-267093-235203</f>
        <v>-511702</v>
      </c>
      <c r="E125" s="24">
        <f t="shared" si="2"/>
        <v>-511702</v>
      </c>
    </row>
    <row r="126" spans="1:5" ht="12.75" customHeight="1">
      <c r="A126" s="13">
        <v>168508</v>
      </c>
      <c r="B126" s="27" t="s">
        <v>104</v>
      </c>
      <c r="C126" s="24">
        <v>0</v>
      </c>
      <c r="D126" s="24">
        <f>-1526-33574-58540</f>
        <v>-93640</v>
      </c>
      <c r="E126" s="24">
        <f aca="true" t="shared" si="3" ref="E126:E217">+C126+D126</f>
        <v>-93640</v>
      </c>
    </row>
    <row r="127" spans="1:5" ht="12.75" customHeight="1">
      <c r="A127" s="13">
        <v>168509</v>
      </c>
      <c r="B127" s="27" t="s">
        <v>105</v>
      </c>
      <c r="C127" s="24">
        <v>0</v>
      </c>
      <c r="D127" s="24">
        <f>-7-4605</f>
        <v>-4612</v>
      </c>
      <c r="E127" s="24">
        <f t="shared" si="3"/>
        <v>-4612</v>
      </c>
    </row>
    <row r="128" spans="1:5" ht="12.75" customHeight="1">
      <c r="A128" s="13">
        <v>168599</v>
      </c>
      <c r="B128" s="27" t="s">
        <v>72</v>
      </c>
      <c r="C128" s="24">
        <v>0</v>
      </c>
      <c r="D128" s="24"/>
      <c r="E128" s="24">
        <f t="shared" si="3"/>
        <v>0</v>
      </c>
    </row>
    <row r="129" spans="1:6" ht="12.75" customHeight="1">
      <c r="A129" s="13">
        <v>190000</v>
      </c>
      <c r="B129" s="26" t="s">
        <v>106</v>
      </c>
      <c r="C129" s="23">
        <f>+C130+C137+C148+C150+C154+C157+C161+C165+C168+C170+C174+C178+C187+C191+C193</f>
        <v>108225</v>
      </c>
      <c r="D129" s="23">
        <f>+D130+D137+D148+D150+D154+D157+D161+D165+D168+D170+D174+D178+D187+D191+D193</f>
        <v>-21567590</v>
      </c>
      <c r="E129" s="23">
        <f>SUM(C129:D129)</f>
        <v>-21459365</v>
      </c>
      <c r="F129" s="18"/>
    </row>
    <row r="130" spans="1:5" ht="12.75" customHeight="1">
      <c r="A130" s="13">
        <v>190500</v>
      </c>
      <c r="B130" s="26" t="s">
        <v>576</v>
      </c>
      <c r="C130" s="23">
        <f>SUM(C131:C147)</f>
        <v>108225</v>
      </c>
      <c r="D130" s="23">
        <f>SUM(D131:D136)</f>
        <v>0</v>
      </c>
      <c r="E130" s="23">
        <f t="shared" si="3"/>
        <v>108225</v>
      </c>
    </row>
    <row r="131" spans="1:5" ht="12.75" customHeight="1">
      <c r="A131" s="13">
        <v>190501</v>
      </c>
      <c r="B131" s="10" t="s">
        <v>165</v>
      </c>
      <c r="C131" s="24">
        <f>58760+1587+339</f>
        <v>60686</v>
      </c>
      <c r="D131" s="24"/>
      <c r="E131" s="24">
        <f t="shared" si="3"/>
        <v>60686</v>
      </c>
    </row>
    <row r="132" spans="1:5" ht="12.75" customHeight="1">
      <c r="A132" s="13">
        <v>190504</v>
      </c>
      <c r="B132" s="10" t="s">
        <v>107</v>
      </c>
      <c r="C132" s="24"/>
      <c r="D132" s="24">
        <v>0</v>
      </c>
      <c r="E132" s="24">
        <f t="shared" si="3"/>
        <v>0</v>
      </c>
    </row>
    <row r="133" spans="1:5" ht="12.75" customHeight="1">
      <c r="A133" s="13">
        <v>190505</v>
      </c>
      <c r="B133" s="10" t="s">
        <v>108</v>
      </c>
      <c r="C133" s="24">
        <v>5643</v>
      </c>
      <c r="D133" s="24">
        <v>0</v>
      </c>
      <c r="E133" s="24">
        <f t="shared" si="3"/>
        <v>5643</v>
      </c>
    </row>
    <row r="134" spans="1:5" ht="12.75" customHeight="1">
      <c r="A134" s="13">
        <v>190507</v>
      </c>
      <c r="B134" s="10" t="s">
        <v>534</v>
      </c>
      <c r="C134" s="24">
        <v>10782</v>
      </c>
      <c r="D134" s="24">
        <v>0</v>
      </c>
      <c r="E134" s="24">
        <f t="shared" si="3"/>
        <v>10782</v>
      </c>
    </row>
    <row r="135" spans="1:5" ht="12.75" customHeight="1">
      <c r="A135" s="13">
        <v>190508</v>
      </c>
      <c r="B135" s="10" t="s">
        <v>109</v>
      </c>
      <c r="C135" s="24">
        <v>31114</v>
      </c>
      <c r="D135" s="24"/>
      <c r="E135" s="24">
        <f t="shared" si="3"/>
        <v>31114</v>
      </c>
    </row>
    <row r="136" spans="1:5" ht="12.75" customHeight="1">
      <c r="A136" s="13">
        <v>190590</v>
      </c>
      <c r="B136" s="10" t="s">
        <v>110</v>
      </c>
      <c r="C136" s="24"/>
      <c r="D136" s="24">
        <v>0</v>
      </c>
      <c r="E136" s="24">
        <f t="shared" si="3"/>
        <v>0</v>
      </c>
    </row>
    <row r="137" spans="1:5" ht="12.75" customHeight="1">
      <c r="A137" s="13">
        <v>191000</v>
      </c>
      <c r="B137" s="26" t="s">
        <v>111</v>
      </c>
      <c r="C137" s="30">
        <f>SUM(C138:C147)</f>
        <v>0</v>
      </c>
      <c r="D137" s="30">
        <f>SUM(D138:D147)</f>
        <v>118158</v>
      </c>
      <c r="E137" s="30">
        <f t="shared" si="3"/>
        <v>118158</v>
      </c>
    </row>
    <row r="138" spans="1:5" ht="12.75" customHeight="1">
      <c r="A138" s="13">
        <v>191001</v>
      </c>
      <c r="B138" s="10" t="s">
        <v>112</v>
      </c>
      <c r="C138" s="18"/>
      <c r="D138" s="31">
        <f>57100+34080</f>
        <v>91180</v>
      </c>
      <c r="E138" s="31">
        <f t="shared" si="3"/>
        <v>91180</v>
      </c>
    </row>
    <row r="139" spans="1:5" ht="12.75" customHeight="1">
      <c r="A139" s="13">
        <v>191003</v>
      </c>
      <c r="B139" s="10" t="s">
        <v>113</v>
      </c>
      <c r="C139" s="18">
        <v>0</v>
      </c>
      <c r="D139" s="31"/>
      <c r="E139" s="31">
        <f t="shared" si="3"/>
        <v>0</v>
      </c>
    </row>
    <row r="140" spans="1:5" ht="12.75" customHeight="1">
      <c r="A140" s="13">
        <v>191004</v>
      </c>
      <c r="B140" s="27" t="s">
        <v>114</v>
      </c>
      <c r="C140" s="31"/>
      <c r="D140" s="31">
        <v>16114</v>
      </c>
      <c r="E140" s="31">
        <f t="shared" si="3"/>
        <v>16114</v>
      </c>
    </row>
    <row r="141" spans="1:5" ht="12.75" customHeight="1">
      <c r="A141" s="13">
        <v>191008</v>
      </c>
      <c r="B141" s="27" t="s">
        <v>115</v>
      </c>
      <c r="C141" s="31"/>
      <c r="D141" s="31"/>
      <c r="E141" s="31">
        <f t="shared" si="3"/>
        <v>0</v>
      </c>
    </row>
    <row r="142" spans="1:5" ht="12.75" customHeight="1">
      <c r="A142" s="13">
        <v>191012</v>
      </c>
      <c r="B142" s="27" t="s">
        <v>116</v>
      </c>
      <c r="C142" s="31"/>
      <c r="D142" s="31"/>
      <c r="E142" s="31">
        <f t="shared" si="3"/>
        <v>0</v>
      </c>
    </row>
    <row r="143" spans="1:5" ht="12.75" customHeight="1">
      <c r="A143" s="13">
        <v>191021</v>
      </c>
      <c r="B143" s="27" t="s">
        <v>553</v>
      </c>
      <c r="C143" s="31"/>
      <c r="D143" s="31">
        <v>4524</v>
      </c>
      <c r="E143" s="31">
        <f t="shared" si="3"/>
        <v>4524</v>
      </c>
    </row>
    <row r="144" spans="1:5" ht="12.75" customHeight="1">
      <c r="A144" s="13">
        <v>191022</v>
      </c>
      <c r="B144" s="10" t="s">
        <v>117</v>
      </c>
      <c r="C144" s="31">
        <v>0</v>
      </c>
      <c r="D144" s="31">
        <f>6120+220</f>
        <v>6340</v>
      </c>
      <c r="E144" s="31">
        <f t="shared" si="3"/>
        <v>6340</v>
      </c>
    </row>
    <row r="145" spans="1:5" ht="12.75" customHeight="1">
      <c r="A145" s="13">
        <v>191023</v>
      </c>
      <c r="B145" s="10" t="s">
        <v>118</v>
      </c>
      <c r="C145" s="31">
        <v>0</v>
      </c>
      <c r="D145" s="31"/>
      <c r="E145" s="31">
        <f t="shared" si="3"/>
        <v>0</v>
      </c>
    </row>
    <row r="146" spans="1:5" ht="12.75" customHeight="1">
      <c r="A146" s="13">
        <v>191090</v>
      </c>
      <c r="B146" s="10" t="s">
        <v>119</v>
      </c>
      <c r="C146" s="31">
        <v>0</v>
      </c>
      <c r="D146" s="31"/>
      <c r="E146" s="31">
        <f t="shared" si="3"/>
        <v>0</v>
      </c>
    </row>
    <row r="147" spans="1:5" ht="12.75" customHeight="1">
      <c r="A147" s="13">
        <v>191099</v>
      </c>
      <c r="B147" s="27" t="s">
        <v>72</v>
      </c>
      <c r="C147" s="31">
        <v>0</v>
      </c>
      <c r="D147" s="31"/>
      <c r="E147" s="31">
        <f t="shared" si="3"/>
        <v>0</v>
      </c>
    </row>
    <row r="148" spans="1:5" ht="12.75" customHeight="1">
      <c r="A148" s="13">
        <v>191100</v>
      </c>
      <c r="B148" s="28" t="s">
        <v>120</v>
      </c>
      <c r="C148" s="30">
        <f>+C149</f>
        <v>0</v>
      </c>
      <c r="D148" s="30">
        <f>SUM(D149)</f>
        <v>90750999</v>
      </c>
      <c r="E148" s="30">
        <f t="shared" si="3"/>
        <v>90750999</v>
      </c>
    </row>
    <row r="149" spans="1:5" ht="12.75" customHeight="1">
      <c r="A149" s="13">
        <v>191102</v>
      </c>
      <c r="B149" s="27" t="s">
        <v>121</v>
      </c>
      <c r="C149" s="31">
        <v>0</v>
      </c>
      <c r="D149" s="31">
        <v>90750999</v>
      </c>
      <c r="E149" s="31">
        <f t="shared" si="3"/>
        <v>90750999</v>
      </c>
    </row>
    <row r="150" spans="1:5" ht="12.75" customHeight="1">
      <c r="A150" s="13">
        <v>192000</v>
      </c>
      <c r="B150" s="28" t="s">
        <v>122</v>
      </c>
      <c r="C150" s="30">
        <f>+C152+C153</f>
        <v>0</v>
      </c>
      <c r="D150" s="30">
        <f>SUM(D151:D153)</f>
        <v>4497902</v>
      </c>
      <c r="E150" s="30">
        <f t="shared" si="3"/>
        <v>4497902</v>
      </c>
    </row>
    <row r="151" spans="1:5" ht="12.75" customHeight="1">
      <c r="A151" s="13">
        <v>192002</v>
      </c>
      <c r="B151" s="27" t="s">
        <v>557</v>
      </c>
      <c r="C151" s="30"/>
      <c r="D151" s="31">
        <v>4370250</v>
      </c>
      <c r="E151" s="31">
        <f t="shared" si="3"/>
        <v>4370250</v>
      </c>
    </row>
    <row r="152" spans="1:5" ht="12.75" customHeight="1">
      <c r="A152" s="13">
        <v>192005</v>
      </c>
      <c r="B152" s="27" t="s">
        <v>123</v>
      </c>
      <c r="C152" s="24">
        <v>0</v>
      </c>
      <c r="D152" s="31">
        <v>127652</v>
      </c>
      <c r="E152" s="31">
        <f t="shared" si="3"/>
        <v>127652</v>
      </c>
    </row>
    <row r="153" spans="1:5" ht="12.75" customHeight="1">
      <c r="A153" s="13">
        <v>192099</v>
      </c>
      <c r="B153" s="27" t="s">
        <v>72</v>
      </c>
      <c r="C153" s="24">
        <v>0</v>
      </c>
      <c r="D153" s="31"/>
      <c r="E153" s="31">
        <f t="shared" si="3"/>
        <v>0</v>
      </c>
    </row>
    <row r="154" spans="1:5" ht="12.75" customHeight="1">
      <c r="A154" s="13">
        <v>192500</v>
      </c>
      <c r="B154" s="29" t="s">
        <v>124</v>
      </c>
      <c r="C154" s="23">
        <f>+C155+C156</f>
        <v>0</v>
      </c>
      <c r="D154" s="23">
        <f>+D155+D156</f>
        <v>-10006</v>
      </c>
      <c r="E154" s="23">
        <f t="shared" si="3"/>
        <v>-10006</v>
      </c>
    </row>
    <row r="155" spans="1:5" ht="12.75" customHeight="1">
      <c r="A155" s="13">
        <v>192505</v>
      </c>
      <c r="B155" s="27" t="s">
        <v>123</v>
      </c>
      <c r="C155" s="24">
        <v>0</v>
      </c>
      <c r="D155" s="31">
        <v>-10006</v>
      </c>
      <c r="E155" s="31">
        <f t="shared" si="3"/>
        <v>-10006</v>
      </c>
    </row>
    <row r="156" spans="1:5" ht="12.75" customHeight="1">
      <c r="A156" s="13">
        <v>192599</v>
      </c>
      <c r="B156" s="27" t="s">
        <v>125</v>
      </c>
      <c r="C156" s="24">
        <v>0</v>
      </c>
      <c r="D156" s="24"/>
      <c r="E156" s="24">
        <f t="shared" si="3"/>
        <v>0</v>
      </c>
    </row>
    <row r="157" spans="1:5" ht="12.75" customHeight="1">
      <c r="A157" s="13">
        <v>195000</v>
      </c>
      <c r="B157" s="26" t="s">
        <v>126</v>
      </c>
      <c r="C157" s="30">
        <f>SUM(C158:C159)</f>
        <v>0</v>
      </c>
      <c r="D157" s="30">
        <f>SUM(D158:D159)</f>
        <v>0</v>
      </c>
      <c r="E157" s="30">
        <f t="shared" si="3"/>
        <v>0</v>
      </c>
    </row>
    <row r="158" spans="1:5" ht="12.75" customHeight="1">
      <c r="A158" s="13">
        <v>195002</v>
      </c>
      <c r="B158" s="10" t="s">
        <v>127</v>
      </c>
      <c r="C158" s="31">
        <v>0</v>
      </c>
      <c r="D158" s="31"/>
      <c r="E158" s="31">
        <f t="shared" si="3"/>
        <v>0</v>
      </c>
    </row>
    <row r="159" spans="1:5" ht="12.75" customHeight="1">
      <c r="A159" s="13">
        <v>195003</v>
      </c>
      <c r="B159" s="10" t="s">
        <v>128</v>
      </c>
      <c r="C159" s="24">
        <v>0</v>
      </c>
      <c r="D159" s="24"/>
      <c r="E159" s="31">
        <f t="shared" si="3"/>
        <v>0</v>
      </c>
    </row>
    <row r="160" spans="1:5" ht="12.75" customHeight="1">
      <c r="A160" s="13">
        <v>195004</v>
      </c>
      <c r="B160" s="10" t="s">
        <v>129</v>
      </c>
      <c r="C160" s="24">
        <v>0</v>
      </c>
      <c r="D160" s="24">
        <v>0</v>
      </c>
      <c r="E160" s="24">
        <f t="shared" si="3"/>
        <v>0</v>
      </c>
    </row>
    <row r="161" spans="1:5" ht="12.75" customHeight="1">
      <c r="A161" s="13">
        <v>195500</v>
      </c>
      <c r="B161" s="26" t="s">
        <v>130</v>
      </c>
      <c r="C161" s="30">
        <f>-SUM(C162:C163)</f>
        <v>0</v>
      </c>
      <c r="D161" s="30">
        <f>SUM(D162:D163)</f>
        <v>0</v>
      </c>
      <c r="E161" s="30">
        <f t="shared" si="3"/>
        <v>0</v>
      </c>
    </row>
    <row r="162" spans="1:5" ht="12.75" customHeight="1">
      <c r="A162" s="13">
        <v>195502</v>
      </c>
      <c r="B162" s="10" t="s">
        <v>127</v>
      </c>
      <c r="C162" s="31">
        <f>+C158</f>
        <v>0</v>
      </c>
      <c r="D162" s="31">
        <v>0</v>
      </c>
      <c r="E162" s="31">
        <f t="shared" si="3"/>
        <v>0</v>
      </c>
    </row>
    <row r="163" spans="1:5" ht="12.75" customHeight="1">
      <c r="A163" s="13">
        <v>195503</v>
      </c>
      <c r="B163" s="10" t="s">
        <v>131</v>
      </c>
      <c r="C163" s="31">
        <f>+C159</f>
        <v>0</v>
      </c>
      <c r="D163" s="18">
        <v>0</v>
      </c>
      <c r="E163" s="31">
        <f t="shared" si="3"/>
        <v>0</v>
      </c>
    </row>
    <row r="164" spans="1:5" ht="12.75" customHeight="1">
      <c r="A164" s="13">
        <v>195504</v>
      </c>
      <c r="B164" s="10" t="s">
        <v>129</v>
      </c>
      <c r="C164" s="31">
        <v>0</v>
      </c>
      <c r="E164" s="18">
        <f t="shared" si="3"/>
        <v>0</v>
      </c>
    </row>
    <row r="165" spans="1:5" ht="12" customHeight="1">
      <c r="A165" s="13">
        <v>196000</v>
      </c>
      <c r="B165" s="26" t="s">
        <v>132</v>
      </c>
      <c r="C165" s="23">
        <f>SUM(C166:C167)</f>
        <v>0</v>
      </c>
      <c r="D165" s="23">
        <f>+D166+D167</f>
        <v>0</v>
      </c>
      <c r="E165" s="23">
        <f t="shared" si="3"/>
        <v>0</v>
      </c>
    </row>
    <row r="166" spans="1:5" ht="12.75" customHeight="1">
      <c r="A166" s="13">
        <v>196007</v>
      </c>
      <c r="B166" s="10" t="s">
        <v>133</v>
      </c>
      <c r="C166" s="24">
        <v>0</v>
      </c>
      <c r="D166" s="24"/>
      <c r="E166" s="24">
        <f t="shared" si="3"/>
        <v>0</v>
      </c>
    </row>
    <row r="167" spans="1:5" ht="12.75" customHeight="1">
      <c r="A167" s="13">
        <v>196099</v>
      </c>
      <c r="B167" s="10" t="s">
        <v>134</v>
      </c>
      <c r="C167" s="24">
        <v>0</v>
      </c>
      <c r="D167" s="24"/>
      <c r="E167" s="24">
        <f t="shared" si="3"/>
        <v>0</v>
      </c>
    </row>
    <row r="168" spans="1:5" ht="12.75" customHeight="1">
      <c r="A168" s="13">
        <v>196500</v>
      </c>
      <c r="B168" s="26" t="s">
        <v>135</v>
      </c>
      <c r="C168" s="24">
        <v>0</v>
      </c>
      <c r="D168" s="30">
        <f>+D169</f>
        <v>0</v>
      </c>
      <c r="E168" s="30">
        <f t="shared" si="3"/>
        <v>0</v>
      </c>
    </row>
    <row r="169" spans="1:5" ht="12.75" customHeight="1">
      <c r="A169" s="13">
        <v>196507</v>
      </c>
      <c r="B169" s="10" t="s">
        <v>133</v>
      </c>
      <c r="C169" s="24">
        <v>0</v>
      </c>
      <c r="D169" s="31">
        <v>0</v>
      </c>
      <c r="E169" s="31">
        <f t="shared" si="3"/>
        <v>0</v>
      </c>
    </row>
    <row r="170" spans="1:5" ht="12.75" customHeight="1">
      <c r="A170" s="13">
        <v>197000</v>
      </c>
      <c r="B170" s="26" t="s">
        <v>136</v>
      </c>
      <c r="C170" s="23">
        <f>SUM(C171:C173)</f>
        <v>0</v>
      </c>
      <c r="D170" s="23">
        <f>SUM(D171:D173)</f>
        <v>6557146</v>
      </c>
      <c r="E170" s="23">
        <f t="shared" si="3"/>
        <v>6557146</v>
      </c>
    </row>
    <row r="171" spans="1:5" ht="12.75" customHeight="1">
      <c r="A171" s="13">
        <v>197007</v>
      </c>
      <c r="B171" s="10" t="s">
        <v>137</v>
      </c>
      <c r="C171" s="24">
        <v>0</v>
      </c>
      <c r="D171" s="24"/>
      <c r="E171" s="24">
        <f t="shared" si="3"/>
        <v>0</v>
      </c>
    </row>
    <row r="172" spans="1:5" ht="12.75" customHeight="1">
      <c r="A172" s="13">
        <v>197008</v>
      </c>
      <c r="B172" s="10" t="s">
        <v>138</v>
      </c>
      <c r="C172" s="24">
        <v>0</v>
      </c>
      <c r="D172" s="24">
        <f>6448284+100626+8236</f>
        <v>6557146</v>
      </c>
      <c r="E172" s="24">
        <f t="shared" si="3"/>
        <v>6557146</v>
      </c>
    </row>
    <row r="173" spans="1:5" ht="12.75" customHeight="1">
      <c r="A173" s="13">
        <v>197099</v>
      </c>
      <c r="B173" s="10" t="s">
        <v>72</v>
      </c>
      <c r="C173" s="24">
        <v>0</v>
      </c>
      <c r="D173" s="24"/>
      <c r="E173" s="31">
        <f t="shared" si="3"/>
        <v>0</v>
      </c>
    </row>
    <row r="174" spans="1:5" ht="12.75" customHeight="1">
      <c r="A174" s="13">
        <v>197500</v>
      </c>
      <c r="B174" s="26" t="s">
        <v>139</v>
      </c>
      <c r="C174" s="30">
        <f>-SUM(C175:C177)</f>
        <v>0</v>
      </c>
      <c r="D174" s="30">
        <f>SUM(D175:D177)</f>
        <v>-6069584</v>
      </c>
      <c r="E174" s="30">
        <f t="shared" si="3"/>
        <v>-6069584</v>
      </c>
    </row>
    <row r="175" spans="1:5" ht="12.75" customHeight="1">
      <c r="A175" s="13">
        <v>197507</v>
      </c>
      <c r="B175" s="10" t="s">
        <v>137</v>
      </c>
      <c r="C175" s="24">
        <v>0</v>
      </c>
      <c r="D175" s="18"/>
      <c r="E175" s="18">
        <f>SUM(C175:D175)</f>
        <v>0</v>
      </c>
    </row>
    <row r="176" spans="1:5" ht="12.75" customHeight="1">
      <c r="A176" s="13">
        <v>197508</v>
      </c>
      <c r="B176" s="10" t="s">
        <v>138</v>
      </c>
      <c r="C176" s="24">
        <v>0</v>
      </c>
      <c r="D176" s="18">
        <f>-6009737-59847</f>
        <v>-6069584</v>
      </c>
      <c r="E176" s="18">
        <f t="shared" si="3"/>
        <v>-6069584</v>
      </c>
    </row>
    <row r="177" spans="1:5" ht="12.75" customHeight="1">
      <c r="A177" s="13">
        <v>197599</v>
      </c>
      <c r="B177" s="10" t="s">
        <v>72</v>
      </c>
      <c r="C177" s="24">
        <v>0</v>
      </c>
      <c r="D177" s="18"/>
      <c r="E177" s="18">
        <f t="shared" si="3"/>
        <v>0</v>
      </c>
    </row>
    <row r="178" spans="1:5" ht="12.75" customHeight="1">
      <c r="A178" s="13">
        <v>199500</v>
      </c>
      <c r="B178" s="26" t="s">
        <v>140</v>
      </c>
      <c r="C178" s="23">
        <f>SUM(C179:C186)</f>
        <v>0</v>
      </c>
      <c r="D178" s="23">
        <f>SUM(D179:D186)</f>
        <v>-132564800</v>
      </c>
      <c r="E178" s="2">
        <f t="shared" si="3"/>
        <v>-132564800</v>
      </c>
    </row>
    <row r="179" spans="1:5" ht="12.75" customHeight="1">
      <c r="A179" s="13">
        <v>199501</v>
      </c>
      <c r="B179" s="10" t="s">
        <v>141</v>
      </c>
      <c r="C179" s="24"/>
      <c r="D179" s="18">
        <v>-132564800</v>
      </c>
      <c r="E179" s="18">
        <f t="shared" si="3"/>
        <v>-132564800</v>
      </c>
    </row>
    <row r="180" spans="1:5" ht="12.75" customHeight="1">
      <c r="A180" s="13">
        <v>199503</v>
      </c>
      <c r="B180" s="10" t="s">
        <v>548</v>
      </c>
      <c r="C180" s="24"/>
      <c r="D180" s="18"/>
      <c r="E180" s="18">
        <f t="shared" si="3"/>
        <v>0</v>
      </c>
    </row>
    <row r="181" spans="1:5" ht="12.75" customHeight="1">
      <c r="A181" s="13">
        <v>199505</v>
      </c>
      <c r="B181" s="10" t="s">
        <v>549</v>
      </c>
      <c r="C181" s="24"/>
      <c r="D181" s="18"/>
      <c r="E181" s="18">
        <f t="shared" si="3"/>
        <v>0</v>
      </c>
    </row>
    <row r="182" spans="1:5" ht="12.75" customHeight="1">
      <c r="A182" s="13">
        <v>199506</v>
      </c>
      <c r="B182" s="10" t="s">
        <v>543</v>
      </c>
      <c r="C182" s="24"/>
      <c r="D182" s="18"/>
      <c r="E182" s="18">
        <f t="shared" si="3"/>
        <v>0</v>
      </c>
    </row>
    <row r="183" spans="1:5" ht="12.75" customHeight="1">
      <c r="A183" s="13">
        <v>199508</v>
      </c>
      <c r="B183" s="10" t="s">
        <v>550</v>
      </c>
      <c r="C183" s="24"/>
      <c r="D183" s="18"/>
      <c r="E183" s="18">
        <f t="shared" si="3"/>
        <v>0</v>
      </c>
    </row>
    <row r="184" spans="1:5" ht="12.75" customHeight="1">
      <c r="A184" s="13">
        <v>199509</v>
      </c>
      <c r="B184" s="10" t="s">
        <v>551</v>
      </c>
      <c r="C184" s="24"/>
      <c r="D184" s="18"/>
      <c r="E184" s="18">
        <f t="shared" si="3"/>
        <v>0</v>
      </c>
    </row>
    <row r="185" spans="1:5" ht="12.75" customHeight="1">
      <c r="A185" s="13">
        <v>199510</v>
      </c>
      <c r="B185" s="10" t="s">
        <v>544</v>
      </c>
      <c r="C185" s="24"/>
      <c r="D185" s="18"/>
      <c r="E185" s="18">
        <f t="shared" si="3"/>
        <v>0</v>
      </c>
    </row>
    <row r="186" spans="1:5" ht="12.75" customHeight="1">
      <c r="A186" s="13">
        <v>199511</v>
      </c>
      <c r="B186" s="10" t="s">
        <v>545</v>
      </c>
      <c r="C186" s="24"/>
      <c r="D186" s="18"/>
      <c r="E186" s="18">
        <f t="shared" si="3"/>
        <v>0</v>
      </c>
    </row>
    <row r="187" spans="1:5" ht="12.75" customHeight="1">
      <c r="A187" s="13">
        <v>199600</v>
      </c>
      <c r="B187" s="26" t="s">
        <v>142</v>
      </c>
      <c r="C187" s="23">
        <f>+C188</f>
        <v>0</v>
      </c>
      <c r="D187" s="23">
        <f>SUM(D188:D190)</f>
        <v>234902</v>
      </c>
      <c r="E187" s="2">
        <f aca="true" t="shared" si="4" ref="E187:E192">SUM(C187:D187)</f>
        <v>234902</v>
      </c>
    </row>
    <row r="188" spans="1:5" ht="12.75" customHeight="1">
      <c r="A188" s="13">
        <v>199601</v>
      </c>
      <c r="B188" s="10" t="s">
        <v>143</v>
      </c>
      <c r="C188" s="24">
        <v>0</v>
      </c>
      <c r="D188" s="24">
        <v>0</v>
      </c>
      <c r="E188" s="18">
        <f t="shared" si="4"/>
        <v>0</v>
      </c>
    </row>
    <row r="189" spans="1:5" ht="12.75" customHeight="1">
      <c r="A189" s="13">
        <v>199604</v>
      </c>
      <c r="B189" s="10" t="s">
        <v>558</v>
      </c>
      <c r="C189" s="24">
        <v>0</v>
      </c>
      <c r="D189" s="24">
        <f>26000+150162</f>
        <v>176162</v>
      </c>
      <c r="E189" s="18">
        <f t="shared" si="4"/>
        <v>176162</v>
      </c>
    </row>
    <row r="190" spans="1:5" ht="12.75" customHeight="1">
      <c r="A190" s="13">
        <v>199690</v>
      </c>
      <c r="B190" s="10" t="s">
        <v>442</v>
      </c>
      <c r="C190" s="24">
        <v>0</v>
      </c>
      <c r="D190" s="24">
        <v>58740</v>
      </c>
      <c r="E190" s="18">
        <f t="shared" si="4"/>
        <v>58740</v>
      </c>
    </row>
    <row r="191" spans="1:5" ht="12.75" customHeight="1">
      <c r="A191" s="13">
        <v>199700</v>
      </c>
      <c r="B191" s="26" t="s">
        <v>144</v>
      </c>
      <c r="C191" s="24"/>
      <c r="D191" s="23">
        <f>+D192</f>
        <v>0</v>
      </c>
      <c r="E191" s="18">
        <f t="shared" si="4"/>
        <v>0</v>
      </c>
    </row>
    <row r="192" spans="1:5" ht="12.75" customHeight="1">
      <c r="A192" s="13">
        <v>199701</v>
      </c>
      <c r="B192" s="10" t="s">
        <v>143</v>
      </c>
      <c r="C192" s="24"/>
      <c r="D192" s="24"/>
      <c r="E192" s="18">
        <f t="shared" si="4"/>
        <v>0</v>
      </c>
    </row>
    <row r="193" spans="1:5" ht="12.75" customHeight="1">
      <c r="A193" s="13">
        <v>199900</v>
      </c>
      <c r="B193" s="26" t="s">
        <v>530</v>
      </c>
      <c r="C193" s="24"/>
      <c r="D193" s="23">
        <f>SUM(D194:D199)</f>
        <v>14917693</v>
      </c>
      <c r="E193" s="2">
        <f aca="true" t="shared" si="5" ref="E193:E199">SUM(C193:D193)</f>
        <v>14917693</v>
      </c>
    </row>
    <row r="194" spans="1:5" ht="12.75" customHeight="1">
      <c r="A194" s="13">
        <v>199952</v>
      </c>
      <c r="B194" s="10" t="s">
        <v>559</v>
      </c>
      <c r="C194" s="24"/>
      <c r="D194" s="24">
        <v>12905980</v>
      </c>
      <c r="E194" s="18">
        <f>SUM(C194:D194)</f>
        <v>12905980</v>
      </c>
    </row>
    <row r="195" spans="1:5" ht="12.75" customHeight="1">
      <c r="A195" s="13">
        <v>199962</v>
      </c>
      <c r="B195" s="10" t="s">
        <v>101</v>
      </c>
      <c r="C195" s="24"/>
      <c r="D195" s="24">
        <v>2011713</v>
      </c>
      <c r="E195" s="18">
        <f t="shared" si="5"/>
        <v>2011713</v>
      </c>
    </row>
    <row r="196" spans="1:5" ht="12.75" customHeight="1">
      <c r="A196" s="13">
        <v>199968</v>
      </c>
      <c r="B196" s="10" t="s">
        <v>531</v>
      </c>
      <c r="C196" s="24"/>
      <c r="D196" s="24"/>
      <c r="E196" s="18">
        <f t="shared" si="5"/>
        <v>0</v>
      </c>
    </row>
    <row r="197" spans="1:5" ht="12.75" customHeight="1">
      <c r="A197" s="13">
        <v>199969</v>
      </c>
      <c r="B197" s="10" t="s">
        <v>362</v>
      </c>
      <c r="C197" s="24"/>
      <c r="D197" s="24"/>
      <c r="E197" s="18">
        <f t="shared" si="5"/>
        <v>0</v>
      </c>
    </row>
    <row r="198" spans="1:5" ht="12.75" customHeight="1">
      <c r="A198" s="13">
        <v>199970</v>
      </c>
      <c r="B198" s="10" t="s">
        <v>532</v>
      </c>
      <c r="C198" s="24"/>
      <c r="D198" s="24"/>
      <c r="E198" s="18">
        <f t="shared" si="5"/>
        <v>0</v>
      </c>
    </row>
    <row r="199" spans="1:5" ht="12.75" customHeight="1">
      <c r="A199" s="13">
        <v>199971</v>
      </c>
      <c r="B199" s="10" t="s">
        <v>533</v>
      </c>
      <c r="C199" s="24"/>
      <c r="D199" s="24"/>
      <c r="E199" s="18">
        <f t="shared" si="5"/>
        <v>0</v>
      </c>
    </row>
    <row r="200" spans="1:6" ht="12.75" customHeight="1">
      <c r="A200" s="13">
        <v>200000</v>
      </c>
      <c r="B200" s="26" t="s">
        <v>145</v>
      </c>
      <c r="C200" s="23">
        <f>+C201+C204+C261+C270+C280</f>
        <v>745691462</v>
      </c>
      <c r="D200" s="23">
        <f>+D204+D270+D261+D280</f>
        <v>0</v>
      </c>
      <c r="E200" s="23">
        <f>SUM(C200:D200)</f>
        <v>745691462</v>
      </c>
      <c r="F200" s="18"/>
    </row>
    <row r="201" spans="1:6" ht="12.75" customHeight="1">
      <c r="A201" s="13">
        <v>220000</v>
      </c>
      <c r="B201" s="26" t="s">
        <v>146</v>
      </c>
      <c r="C201" s="23">
        <f>+C202</f>
        <v>132000</v>
      </c>
      <c r="D201" s="23"/>
      <c r="E201" s="23">
        <f t="shared" si="3"/>
        <v>132000</v>
      </c>
      <c r="F201" s="18"/>
    </row>
    <row r="202" spans="1:6" ht="12.75" customHeight="1">
      <c r="A202" s="13">
        <v>224600</v>
      </c>
      <c r="B202" s="26" t="s">
        <v>147</v>
      </c>
      <c r="C202" s="23">
        <f>+C203</f>
        <v>132000</v>
      </c>
      <c r="D202" s="23"/>
      <c r="E202" s="23">
        <f t="shared" si="3"/>
        <v>132000</v>
      </c>
      <c r="F202" s="18"/>
    </row>
    <row r="203" spans="1:5" ht="12.75" customHeight="1">
      <c r="A203" s="13">
        <v>224625</v>
      </c>
      <c r="B203" s="10" t="s">
        <v>148</v>
      </c>
      <c r="C203" s="24">
        <v>132000</v>
      </c>
      <c r="D203" s="23"/>
      <c r="E203" s="31">
        <f t="shared" si="3"/>
        <v>132000</v>
      </c>
    </row>
    <row r="204" spans="1:5" ht="12.75" customHeight="1">
      <c r="A204" s="13">
        <v>240000</v>
      </c>
      <c r="B204" s="26" t="s">
        <v>149</v>
      </c>
      <c r="C204" s="23">
        <f>+C205+C208+C216+C235+C237+C248+C250+C256+C259</f>
        <v>744652265</v>
      </c>
      <c r="D204" s="23">
        <f>+D205+D208+D216+D235+D237+D248+D250+D259</f>
        <v>0</v>
      </c>
      <c r="E204" s="23">
        <f t="shared" si="3"/>
        <v>744652265</v>
      </c>
    </row>
    <row r="205" spans="1:5" ht="12.75" customHeight="1">
      <c r="A205" s="13">
        <v>240100</v>
      </c>
      <c r="B205" s="26" t="s">
        <v>150</v>
      </c>
      <c r="C205" s="23">
        <f>SUM(C206:C207)</f>
        <v>247603</v>
      </c>
      <c r="D205" s="23">
        <f>SUM(D206:D207)</f>
        <v>0</v>
      </c>
      <c r="E205" s="23">
        <f t="shared" si="3"/>
        <v>247603</v>
      </c>
    </row>
    <row r="206" spans="1:5" ht="12.75" customHeight="1">
      <c r="A206" s="13">
        <v>240101</v>
      </c>
      <c r="B206" s="10" t="s">
        <v>151</v>
      </c>
      <c r="C206" s="31">
        <f>8417+15889+194257</f>
        <v>218563</v>
      </c>
      <c r="D206" s="31">
        <v>0</v>
      </c>
      <c r="E206" s="31">
        <f t="shared" si="3"/>
        <v>218563</v>
      </c>
    </row>
    <row r="207" spans="1:5" ht="12.75" customHeight="1">
      <c r="A207" s="13">
        <v>240102</v>
      </c>
      <c r="B207" s="10" t="s">
        <v>152</v>
      </c>
      <c r="C207" s="24">
        <v>29040</v>
      </c>
      <c r="D207" s="31">
        <v>0</v>
      </c>
      <c r="E207" s="31">
        <f t="shared" si="3"/>
        <v>29040</v>
      </c>
    </row>
    <row r="208" spans="1:5" ht="12.75" customHeight="1">
      <c r="A208" s="13">
        <v>240300</v>
      </c>
      <c r="B208" s="26" t="s">
        <v>153</v>
      </c>
      <c r="C208" s="23">
        <f>SUM(C209:C215)</f>
        <v>743904419</v>
      </c>
      <c r="D208" s="23">
        <v>0</v>
      </c>
      <c r="E208" s="23">
        <f t="shared" si="3"/>
        <v>743904419</v>
      </c>
    </row>
    <row r="209" spans="1:5" ht="12.75" customHeight="1">
      <c r="A209" s="13">
        <v>240303</v>
      </c>
      <c r="B209" s="10" t="s">
        <v>154</v>
      </c>
      <c r="C209" s="24">
        <v>10500</v>
      </c>
      <c r="D209" s="24">
        <v>0</v>
      </c>
      <c r="E209" s="24">
        <f t="shared" si="3"/>
        <v>10500</v>
      </c>
    </row>
    <row r="210" spans="1:5" ht="12.75" customHeight="1">
      <c r="A210" s="13">
        <v>240304</v>
      </c>
      <c r="B210" s="10" t="s">
        <v>155</v>
      </c>
      <c r="C210" s="24">
        <v>45559421</v>
      </c>
      <c r="D210" s="24">
        <v>0</v>
      </c>
      <c r="E210" s="24">
        <f t="shared" si="3"/>
        <v>45559421</v>
      </c>
    </row>
    <row r="211" spans="1:5" ht="12.75" customHeight="1">
      <c r="A211" s="13">
        <v>240305</v>
      </c>
      <c r="B211" s="10" t="s">
        <v>156</v>
      </c>
      <c r="C211" s="24"/>
      <c r="D211" s="24">
        <v>0</v>
      </c>
      <c r="E211" s="24">
        <f t="shared" si="3"/>
        <v>0</v>
      </c>
    </row>
    <row r="212" spans="1:5" ht="12.75" customHeight="1">
      <c r="A212" s="13">
        <v>240307</v>
      </c>
      <c r="B212" s="10" t="s">
        <v>157</v>
      </c>
      <c r="C212" s="24"/>
      <c r="D212" s="24">
        <v>0</v>
      </c>
      <c r="E212" s="24">
        <f t="shared" si="3"/>
        <v>0</v>
      </c>
    </row>
    <row r="213" spans="1:5" ht="12.75" customHeight="1">
      <c r="A213" s="13">
        <v>240308</v>
      </c>
      <c r="B213" s="10" t="s">
        <v>158</v>
      </c>
      <c r="C213" s="24"/>
      <c r="D213" s="24">
        <v>0</v>
      </c>
      <c r="E213" s="24">
        <f t="shared" si="3"/>
        <v>0</v>
      </c>
    </row>
    <row r="214" spans="1:5" ht="12.75" customHeight="1">
      <c r="A214" s="13">
        <v>240313</v>
      </c>
      <c r="B214" s="10" t="s">
        <v>159</v>
      </c>
      <c r="C214" s="24"/>
      <c r="D214" s="24">
        <v>0</v>
      </c>
      <c r="E214" s="24">
        <f t="shared" si="3"/>
        <v>0</v>
      </c>
    </row>
    <row r="215" spans="1:5" ht="12.75" customHeight="1">
      <c r="A215" s="13">
        <v>240314</v>
      </c>
      <c r="B215" s="10" t="s">
        <v>160</v>
      </c>
      <c r="C215" s="24">
        <v>698334498</v>
      </c>
      <c r="D215" s="24">
        <v>0</v>
      </c>
      <c r="E215" s="24">
        <f t="shared" si="3"/>
        <v>698334498</v>
      </c>
    </row>
    <row r="216" spans="1:5" ht="12.75" customHeight="1">
      <c r="A216" s="13">
        <v>242500</v>
      </c>
      <c r="B216" s="26" t="s">
        <v>161</v>
      </c>
      <c r="C216" s="23">
        <f>SUM(C217:C234)</f>
        <v>33753</v>
      </c>
      <c r="D216" s="30">
        <f>SUM(D220:D234)</f>
        <v>0</v>
      </c>
      <c r="E216" s="30">
        <f t="shared" si="3"/>
        <v>33753</v>
      </c>
    </row>
    <row r="217" spans="1:5" ht="12.75" customHeight="1">
      <c r="A217" s="13">
        <v>242501</v>
      </c>
      <c r="B217" s="10" t="s">
        <v>162</v>
      </c>
      <c r="C217" s="24">
        <f>6121</f>
        <v>6121</v>
      </c>
      <c r="D217" s="31">
        <v>0</v>
      </c>
      <c r="E217" s="31">
        <f t="shared" si="3"/>
        <v>6121</v>
      </c>
    </row>
    <row r="218" spans="1:5" ht="12.75" customHeight="1">
      <c r="A218" s="13">
        <v>242504</v>
      </c>
      <c r="B218" s="10" t="s">
        <v>163</v>
      </c>
      <c r="C218" s="24"/>
      <c r="D218" s="31">
        <v>0</v>
      </c>
      <c r="E218" s="31">
        <f aca="true" t="shared" si="6" ref="E218:E293">+C218+D218</f>
        <v>0</v>
      </c>
    </row>
    <row r="219" spans="1:5" ht="12.75" customHeight="1">
      <c r="A219" s="13">
        <v>242507</v>
      </c>
      <c r="B219" s="10" t="s">
        <v>107</v>
      </c>
      <c r="C219" s="24">
        <v>643</v>
      </c>
      <c r="D219" s="31">
        <v>0</v>
      </c>
      <c r="E219" s="31">
        <f t="shared" si="6"/>
        <v>643</v>
      </c>
    </row>
    <row r="220" spans="1:5" ht="12.75" customHeight="1">
      <c r="A220" s="13">
        <v>242508</v>
      </c>
      <c r="B220" s="10" t="s">
        <v>164</v>
      </c>
      <c r="C220" s="24"/>
      <c r="D220" s="31">
        <v>0</v>
      </c>
      <c r="E220" s="31">
        <f t="shared" si="6"/>
        <v>0</v>
      </c>
    </row>
    <row r="221" spans="1:5" ht="12.75" customHeight="1">
      <c r="A221" s="13">
        <v>242510</v>
      </c>
      <c r="B221" s="10" t="s">
        <v>165</v>
      </c>
      <c r="C221" s="24"/>
      <c r="D221" s="31">
        <v>0</v>
      </c>
      <c r="E221" s="31">
        <f t="shared" si="6"/>
        <v>0</v>
      </c>
    </row>
    <row r="222" spans="1:5" ht="12.75" customHeight="1">
      <c r="A222" s="13">
        <v>242513</v>
      </c>
      <c r="B222" s="10" t="s">
        <v>166</v>
      </c>
      <c r="C222" s="24">
        <v>1817</v>
      </c>
      <c r="D222" s="31">
        <v>0</v>
      </c>
      <c r="E222" s="31">
        <f t="shared" si="6"/>
        <v>1817</v>
      </c>
    </row>
    <row r="223" spans="1:5" ht="12.75" customHeight="1">
      <c r="A223" s="13">
        <v>242518</v>
      </c>
      <c r="B223" s="10" t="s">
        <v>167</v>
      </c>
      <c r="C223" s="24">
        <v>1590</v>
      </c>
      <c r="D223" s="31">
        <v>0</v>
      </c>
      <c r="E223" s="31">
        <f t="shared" si="6"/>
        <v>1590</v>
      </c>
    </row>
    <row r="224" spans="1:5" ht="12.75" customHeight="1">
      <c r="A224" s="13">
        <v>242519</v>
      </c>
      <c r="B224" s="10" t="s">
        <v>168</v>
      </c>
      <c r="C224" s="24">
        <v>1292</v>
      </c>
      <c r="D224" s="31">
        <v>0</v>
      </c>
      <c r="E224" s="31">
        <f t="shared" si="6"/>
        <v>1292</v>
      </c>
    </row>
    <row r="225" spans="1:5" ht="12.75" customHeight="1">
      <c r="A225" s="13">
        <v>242520</v>
      </c>
      <c r="B225" s="10" t="s">
        <v>169</v>
      </c>
      <c r="C225" s="24">
        <f>863+10576</f>
        <v>11439</v>
      </c>
      <c r="D225" s="31">
        <v>0</v>
      </c>
      <c r="E225" s="31">
        <f t="shared" si="6"/>
        <v>11439</v>
      </c>
    </row>
    <row r="226" spans="1:5" ht="12.75" customHeight="1">
      <c r="A226" s="13">
        <v>242521</v>
      </c>
      <c r="B226" s="10" t="s">
        <v>170</v>
      </c>
      <c r="C226" s="31"/>
      <c r="D226" s="31">
        <v>0</v>
      </c>
      <c r="E226" s="31">
        <f t="shared" si="6"/>
        <v>0</v>
      </c>
    </row>
    <row r="227" spans="1:5" ht="12.75" customHeight="1">
      <c r="A227" s="13">
        <v>242522</v>
      </c>
      <c r="B227" s="10" t="s">
        <v>171</v>
      </c>
      <c r="C227" s="31"/>
      <c r="D227" s="31">
        <v>0</v>
      </c>
      <c r="E227" s="31">
        <f t="shared" si="6"/>
        <v>0</v>
      </c>
    </row>
    <row r="228" spans="1:5" ht="12.75" customHeight="1">
      <c r="A228" s="13">
        <v>242523</v>
      </c>
      <c r="B228" s="10" t="s">
        <v>172</v>
      </c>
      <c r="C228" s="31"/>
      <c r="D228" s="31">
        <v>0</v>
      </c>
      <c r="E228" s="31">
        <f t="shared" si="6"/>
        <v>0</v>
      </c>
    </row>
    <row r="229" spans="1:5" ht="12.75" customHeight="1">
      <c r="A229" s="13">
        <v>242524</v>
      </c>
      <c r="B229" s="10" t="s">
        <v>173</v>
      </c>
      <c r="C229" s="31"/>
      <c r="D229" s="31">
        <v>0</v>
      </c>
      <c r="E229" s="31">
        <f t="shared" si="6"/>
        <v>0</v>
      </c>
    </row>
    <row r="230" spans="1:5" ht="12.75" customHeight="1">
      <c r="A230" s="13">
        <v>242532</v>
      </c>
      <c r="B230" s="10" t="s">
        <v>174</v>
      </c>
      <c r="C230" s="31">
        <v>13</v>
      </c>
      <c r="D230" s="31">
        <v>0</v>
      </c>
      <c r="E230" s="31">
        <f t="shared" si="6"/>
        <v>13</v>
      </c>
    </row>
    <row r="231" spans="1:5" ht="12.75" customHeight="1">
      <c r="A231" s="13">
        <v>242533</v>
      </c>
      <c r="B231" s="10" t="s">
        <v>175</v>
      </c>
      <c r="C231" s="31"/>
      <c r="D231" s="31">
        <v>0</v>
      </c>
      <c r="E231" s="31">
        <f t="shared" si="6"/>
        <v>0</v>
      </c>
    </row>
    <row r="232" spans="1:5" ht="12.75" customHeight="1">
      <c r="A232" s="13">
        <v>242535</v>
      </c>
      <c r="B232" s="10" t="s">
        <v>176</v>
      </c>
      <c r="C232" s="31"/>
      <c r="D232" s="31">
        <v>0</v>
      </c>
      <c r="E232" s="31">
        <f t="shared" si="6"/>
        <v>0</v>
      </c>
    </row>
    <row r="233" spans="1:5" ht="12.75" customHeight="1">
      <c r="A233" s="13">
        <v>242541</v>
      </c>
      <c r="B233" s="10" t="s">
        <v>177</v>
      </c>
      <c r="C233" s="31">
        <v>370</v>
      </c>
      <c r="D233" s="31">
        <v>0</v>
      </c>
      <c r="E233" s="31">
        <f t="shared" si="6"/>
        <v>370</v>
      </c>
    </row>
    <row r="234" spans="1:5" ht="12.75" customHeight="1">
      <c r="A234" s="13">
        <v>242590</v>
      </c>
      <c r="B234" s="10" t="s">
        <v>178</v>
      </c>
      <c r="C234" s="31">
        <f>4356+6112</f>
        <v>10468</v>
      </c>
      <c r="D234" s="31">
        <v>0</v>
      </c>
      <c r="E234" s="31">
        <f t="shared" si="6"/>
        <v>10468</v>
      </c>
    </row>
    <row r="235" spans="1:5" ht="12.75" customHeight="1">
      <c r="A235" s="13">
        <v>243000</v>
      </c>
      <c r="B235" s="26" t="s">
        <v>179</v>
      </c>
      <c r="C235" s="23">
        <f>+C236</f>
        <v>0</v>
      </c>
      <c r="D235" s="30">
        <v>0</v>
      </c>
      <c r="E235" s="30">
        <f t="shared" si="6"/>
        <v>0</v>
      </c>
    </row>
    <row r="236" spans="1:5" ht="12.75" customHeight="1">
      <c r="A236" s="13">
        <v>243002</v>
      </c>
      <c r="B236" s="10" t="s">
        <v>180</v>
      </c>
      <c r="C236" s="24">
        <v>0</v>
      </c>
      <c r="D236" s="31">
        <v>0</v>
      </c>
      <c r="E236" s="31">
        <f t="shared" si="6"/>
        <v>0</v>
      </c>
    </row>
    <row r="237" spans="1:5" ht="12.75" customHeight="1">
      <c r="A237" s="13">
        <v>243600</v>
      </c>
      <c r="B237" s="26" t="s">
        <v>181</v>
      </c>
      <c r="C237" s="23">
        <f>SUM(C238:C247)</f>
        <v>395899</v>
      </c>
      <c r="D237" s="30">
        <v>0</v>
      </c>
      <c r="E237" s="30">
        <f t="shared" si="6"/>
        <v>395899</v>
      </c>
    </row>
    <row r="238" spans="1:5" ht="12.75" customHeight="1">
      <c r="A238" s="13">
        <v>243601</v>
      </c>
      <c r="B238" s="10" t="s">
        <v>182</v>
      </c>
      <c r="C238" s="24">
        <f>102678+474</f>
        <v>103152</v>
      </c>
      <c r="D238" s="31">
        <v>0</v>
      </c>
      <c r="E238" s="31">
        <f t="shared" si="6"/>
        <v>103152</v>
      </c>
    </row>
    <row r="239" spans="1:5" ht="12.75" customHeight="1">
      <c r="A239" s="13">
        <v>243602</v>
      </c>
      <c r="B239" s="10" t="s">
        <v>183</v>
      </c>
      <c r="C239" s="24"/>
      <c r="D239" s="31">
        <v>0</v>
      </c>
      <c r="E239" s="31">
        <f t="shared" si="6"/>
        <v>0</v>
      </c>
    </row>
    <row r="240" spans="1:5" ht="12.75" customHeight="1">
      <c r="A240" s="13">
        <v>243603</v>
      </c>
      <c r="B240" s="10" t="s">
        <v>184</v>
      </c>
      <c r="C240" s="24">
        <f>33803+9535+12750</f>
        <v>56088</v>
      </c>
      <c r="D240" s="31">
        <v>0</v>
      </c>
      <c r="E240" s="31">
        <f t="shared" si="6"/>
        <v>56088</v>
      </c>
    </row>
    <row r="241" spans="1:5" ht="12.75" customHeight="1">
      <c r="A241" s="13">
        <v>243604</v>
      </c>
      <c r="B241" s="10" t="s">
        <v>185</v>
      </c>
      <c r="C241" s="24"/>
      <c r="D241" s="31"/>
      <c r="E241" s="31">
        <f t="shared" si="6"/>
        <v>0</v>
      </c>
    </row>
    <row r="242" spans="1:5" ht="12.75" customHeight="1">
      <c r="A242" s="13">
        <v>243605</v>
      </c>
      <c r="B242" s="10" t="s">
        <v>534</v>
      </c>
      <c r="C242" s="24">
        <f>60159+3133+6354</f>
        <v>69646</v>
      </c>
      <c r="D242" s="31">
        <v>0</v>
      </c>
      <c r="E242" s="31">
        <f t="shared" si="6"/>
        <v>69646</v>
      </c>
    </row>
    <row r="243" spans="1:5" ht="12.75" customHeight="1">
      <c r="A243" s="13">
        <v>243607</v>
      </c>
      <c r="B243" s="10" t="s">
        <v>186</v>
      </c>
      <c r="C243" s="24"/>
      <c r="D243" s="31">
        <v>0</v>
      </c>
      <c r="E243" s="31">
        <f t="shared" si="6"/>
        <v>0</v>
      </c>
    </row>
    <row r="244" spans="1:5" ht="12.75" customHeight="1">
      <c r="A244" s="13">
        <v>243608</v>
      </c>
      <c r="B244" s="10" t="s">
        <v>187</v>
      </c>
      <c r="C244" s="24">
        <f>175+433+4926</f>
        <v>5534</v>
      </c>
      <c r="D244" s="31">
        <v>0</v>
      </c>
      <c r="E244" s="31">
        <f t="shared" si="6"/>
        <v>5534</v>
      </c>
    </row>
    <row r="245" spans="1:5" ht="12.75" customHeight="1">
      <c r="A245" s="13">
        <v>243610</v>
      </c>
      <c r="B245" s="10" t="s">
        <v>188</v>
      </c>
      <c r="C245" s="24"/>
      <c r="D245" s="31">
        <v>0</v>
      </c>
      <c r="E245" s="31">
        <f t="shared" si="6"/>
        <v>0</v>
      </c>
    </row>
    <row r="246" spans="1:5" ht="12.75" customHeight="1">
      <c r="A246" s="13">
        <v>243625</v>
      </c>
      <c r="B246" s="10" t="s">
        <v>552</v>
      </c>
      <c r="C246" s="24">
        <f>148262+1700+8783</f>
        <v>158745</v>
      </c>
      <c r="D246" s="31">
        <v>0</v>
      </c>
      <c r="E246" s="31">
        <f t="shared" si="6"/>
        <v>158745</v>
      </c>
    </row>
    <row r="247" spans="1:5" ht="12.75" customHeight="1">
      <c r="A247" s="13">
        <v>243698</v>
      </c>
      <c r="B247" s="10" t="s">
        <v>560</v>
      </c>
      <c r="C247" s="24">
        <v>2734</v>
      </c>
      <c r="D247" s="31">
        <v>0</v>
      </c>
      <c r="E247" s="31">
        <f>+C247+D247</f>
        <v>2734</v>
      </c>
    </row>
    <row r="248" spans="1:5" ht="12.75" customHeight="1">
      <c r="A248" s="13">
        <v>243700</v>
      </c>
      <c r="B248" s="26" t="s">
        <v>189</v>
      </c>
      <c r="C248" s="23">
        <f>+C249</f>
        <v>25793</v>
      </c>
      <c r="D248" s="30">
        <v>0</v>
      </c>
      <c r="E248" s="30">
        <f t="shared" si="6"/>
        <v>25793</v>
      </c>
    </row>
    <row r="249" spans="1:5" ht="12.75" customHeight="1">
      <c r="A249" s="13">
        <v>243701</v>
      </c>
      <c r="B249" s="10" t="s">
        <v>190</v>
      </c>
      <c r="C249" s="24">
        <f>24058+1735</f>
        <v>25793</v>
      </c>
      <c r="D249" s="31">
        <v>0</v>
      </c>
      <c r="E249" s="31">
        <f t="shared" si="6"/>
        <v>25793</v>
      </c>
    </row>
    <row r="250" spans="1:5" ht="12.75" customHeight="1">
      <c r="A250" s="13">
        <v>244000</v>
      </c>
      <c r="B250" s="26" t="s">
        <v>191</v>
      </c>
      <c r="C250" s="23">
        <f>SUM(C251:C255)</f>
        <v>45</v>
      </c>
      <c r="D250" s="30">
        <v>0</v>
      </c>
      <c r="E250" s="30">
        <f t="shared" si="6"/>
        <v>45</v>
      </c>
    </row>
    <row r="251" spans="1:5" ht="12.75" customHeight="1">
      <c r="A251" s="13">
        <v>244003</v>
      </c>
      <c r="B251" s="10" t="s">
        <v>192</v>
      </c>
      <c r="C251" s="24"/>
      <c r="D251" s="31">
        <v>0</v>
      </c>
      <c r="E251" s="31">
        <f t="shared" si="6"/>
        <v>0</v>
      </c>
    </row>
    <row r="252" spans="1:5" ht="12.75" customHeight="1">
      <c r="A252" s="13">
        <v>244005</v>
      </c>
      <c r="B252" s="10" t="s">
        <v>193</v>
      </c>
      <c r="C252" s="24"/>
      <c r="D252" s="31">
        <v>0</v>
      </c>
      <c r="E252" s="31">
        <f t="shared" si="6"/>
        <v>0</v>
      </c>
    </row>
    <row r="253" spans="1:5" ht="12.75" customHeight="1">
      <c r="A253" s="13">
        <v>244011</v>
      </c>
      <c r="B253" s="10" t="s">
        <v>535</v>
      </c>
      <c r="C253" s="24">
        <v>45</v>
      </c>
      <c r="D253" s="31">
        <v>0</v>
      </c>
      <c r="E253" s="31">
        <f t="shared" si="6"/>
        <v>45</v>
      </c>
    </row>
    <row r="254" spans="1:5" ht="12.75" customHeight="1">
      <c r="A254" s="13">
        <v>244016</v>
      </c>
      <c r="B254" s="10" t="s">
        <v>194</v>
      </c>
      <c r="C254" s="24">
        <v>0</v>
      </c>
      <c r="D254" s="31">
        <v>0</v>
      </c>
      <c r="E254" s="31">
        <f t="shared" si="6"/>
        <v>0</v>
      </c>
    </row>
    <row r="255" spans="1:5" ht="12.75" customHeight="1">
      <c r="A255" s="13">
        <v>244095</v>
      </c>
      <c r="B255" s="10" t="s">
        <v>195</v>
      </c>
      <c r="C255" s="24"/>
      <c r="D255" s="31">
        <v>0</v>
      </c>
      <c r="E255" s="31">
        <f t="shared" si="6"/>
        <v>0</v>
      </c>
    </row>
    <row r="256" spans="1:5" ht="12.75" customHeight="1">
      <c r="A256" s="13">
        <v>245500</v>
      </c>
      <c r="B256" s="26" t="s">
        <v>570</v>
      </c>
      <c r="C256" s="23">
        <f>SUM(C257:C258)</f>
        <v>44753</v>
      </c>
      <c r="D256" s="23">
        <v>0</v>
      </c>
      <c r="E256" s="23">
        <f>+C256+D256</f>
        <v>44753</v>
      </c>
    </row>
    <row r="257" spans="1:5" ht="12.75" customHeight="1">
      <c r="A257" s="13">
        <v>245503</v>
      </c>
      <c r="B257" s="27" t="s">
        <v>571</v>
      </c>
      <c r="C257" s="24">
        <v>153</v>
      </c>
      <c r="D257" s="31">
        <v>0</v>
      </c>
      <c r="E257" s="31">
        <f>+C257+D257</f>
        <v>153</v>
      </c>
    </row>
    <row r="258" spans="1:5" ht="12.75" customHeight="1">
      <c r="A258" s="13">
        <v>245506</v>
      </c>
      <c r="B258" s="27" t="s">
        <v>594</v>
      </c>
      <c r="C258" s="24">
        <v>44600</v>
      </c>
      <c r="D258" s="31">
        <v>0</v>
      </c>
      <c r="E258" s="31">
        <f>+C258+D258</f>
        <v>44600</v>
      </c>
    </row>
    <row r="259" spans="1:5" ht="12" customHeight="1">
      <c r="A259" s="13">
        <v>246000</v>
      </c>
      <c r="B259" s="26" t="s">
        <v>196</v>
      </c>
      <c r="C259" s="23">
        <f>+C260</f>
        <v>0</v>
      </c>
      <c r="D259" s="23">
        <v>0</v>
      </c>
      <c r="E259" s="23">
        <f t="shared" si="6"/>
        <v>0</v>
      </c>
    </row>
    <row r="260" spans="1:5" ht="12.75" customHeight="1">
      <c r="A260" s="13">
        <v>246002</v>
      </c>
      <c r="B260" s="27" t="s">
        <v>183</v>
      </c>
      <c r="C260" s="24"/>
      <c r="D260" s="31">
        <v>0</v>
      </c>
      <c r="E260" s="31">
        <f t="shared" si="6"/>
        <v>0</v>
      </c>
    </row>
    <row r="261" spans="1:5" ht="12.75" customHeight="1">
      <c r="A261" s="13">
        <v>250000</v>
      </c>
      <c r="B261" s="28" t="s">
        <v>197</v>
      </c>
      <c r="C261" s="23">
        <f>+C262</f>
        <v>277006</v>
      </c>
      <c r="D261" s="30">
        <v>0</v>
      </c>
      <c r="E261" s="30">
        <f t="shared" si="6"/>
        <v>277006</v>
      </c>
    </row>
    <row r="262" spans="1:5" ht="12.75" customHeight="1">
      <c r="A262" s="13">
        <v>250500</v>
      </c>
      <c r="B262" s="28" t="s">
        <v>198</v>
      </c>
      <c r="C262" s="23">
        <f>SUM(C263:C269)</f>
        <v>277006</v>
      </c>
      <c r="D262" s="30">
        <v>0</v>
      </c>
      <c r="E262" s="30">
        <f t="shared" si="6"/>
        <v>277006</v>
      </c>
    </row>
    <row r="263" spans="1:5" ht="12.75" customHeight="1">
      <c r="A263" s="13">
        <v>250501</v>
      </c>
      <c r="B263" s="27" t="s">
        <v>199</v>
      </c>
      <c r="C263" s="24">
        <v>40</v>
      </c>
      <c r="D263" s="31">
        <v>0</v>
      </c>
      <c r="E263" s="31">
        <f t="shared" si="6"/>
        <v>40</v>
      </c>
    </row>
    <row r="264" spans="1:5" ht="12.75" customHeight="1">
      <c r="A264" s="13">
        <v>250502</v>
      </c>
      <c r="B264" s="27" t="s">
        <v>200</v>
      </c>
      <c r="C264" s="24">
        <v>4583</v>
      </c>
      <c r="D264" s="31">
        <v>0</v>
      </c>
      <c r="E264" s="31">
        <f t="shared" si="6"/>
        <v>4583</v>
      </c>
    </row>
    <row r="265" spans="1:5" ht="12.75" customHeight="1">
      <c r="A265" s="13">
        <v>250504</v>
      </c>
      <c r="B265" s="27" t="s">
        <v>201</v>
      </c>
      <c r="C265" s="24">
        <v>1156</v>
      </c>
      <c r="D265" s="31">
        <v>0</v>
      </c>
      <c r="E265" s="31">
        <f t="shared" si="6"/>
        <v>1156</v>
      </c>
    </row>
    <row r="266" spans="1:5" ht="12.75" customHeight="1">
      <c r="A266" s="13">
        <v>250505</v>
      </c>
      <c r="B266" s="27" t="s">
        <v>202</v>
      </c>
      <c r="C266" s="24">
        <f>92722+4544</f>
        <v>97266</v>
      </c>
      <c r="D266" s="31">
        <v>0</v>
      </c>
      <c r="E266" s="31">
        <f t="shared" si="6"/>
        <v>97266</v>
      </c>
    </row>
    <row r="267" spans="1:5" ht="12.75" customHeight="1">
      <c r="A267" s="13">
        <v>250506</v>
      </c>
      <c r="B267" s="27" t="s">
        <v>203</v>
      </c>
      <c r="C267" s="24">
        <f>155046+3966</f>
        <v>159012</v>
      </c>
      <c r="D267" s="31">
        <v>0</v>
      </c>
      <c r="E267" s="31">
        <f t="shared" si="6"/>
        <v>159012</v>
      </c>
    </row>
    <row r="268" spans="1:5" ht="12.75" customHeight="1">
      <c r="A268" s="13">
        <v>250507</v>
      </c>
      <c r="B268" s="27" t="s">
        <v>204</v>
      </c>
      <c r="C268" s="24"/>
      <c r="D268" s="31">
        <v>0</v>
      </c>
      <c r="E268" s="31">
        <f t="shared" si="6"/>
        <v>0</v>
      </c>
    </row>
    <row r="269" spans="1:5" ht="12.75" customHeight="1">
      <c r="A269" s="13">
        <v>250512</v>
      </c>
      <c r="B269" s="27" t="s">
        <v>205</v>
      </c>
      <c r="C269" s="24">
        <f>11523+3426</f>
        <v>14949</v>
      </c>
      <c r="D269" s="31">
        <v>0</v>
      </c>
      <c r="E269" s="31">
        <f t="shared" si="6"/>
        <v>14949</v>
      </c>
    </row>
    <row r="270" spans="1:5" ht="12.75" customHeight="1">
      <c r="A270" s="13">
        <v>270000</v>
      </c>
      <c r="B270" s="19" t="s">
        <v>206</v>
      </c>
      <c r="C270" s="23">
        <f>+C271+C273</f>
        <v>0</v>
      </c>
      <c r="D270" s="23">
        <f>+D271</f>
        <v>0</v>
      </c>
      <c r="E270" s="23">
        <f t="shared" si="6"/>
        <v>0</v>
      </c>
    </row>
    <row r="271" spans="1:5" ht="12.75" customHeight="1">
      <c r="A271" s="13">
        <v>271000</v>
      </c>
      <c r="B271" s="19" t="s">
        <v>207</v>
      </c>
      <c r="C271" s="23">
        <f>+C272</f>
        <v>0</v>
      </c>
      <c r="D271" s="23">
        <f>+D272</f>
        <v>0</v>
      </c>
      <c r="E271" s="23">
        <f t="shared" si="6"/>
        <v>0</v>
      </c>
    </row>
    <row r="272" spans="1:5" ht="12.75" customHeight="1">
      <c r="A272" s="13">
        <v>271005</v>
      </c>
      <c r="B272" s="25" t="s">
        <v>208</v>
      </c>
      <c r="C272" s="24"/>
      <c r="D272" s="24"/>
      <c r="E272" s="24">
        <f t="shared" si="6"/>
        <v>0</v>
      </c>
    </row>
    <row r="273" spans="1:5" ht="12.75" customHeight="1">
      <c r="A273" s="13">
        <v>271500</v>
      </c>
      <c r="B273" s="19" t="s">
        <v>209</v>
      </c>
      <c r="C273" s="23">
        <f>SUM(C274:C279)</f>
        <v>0</v>
      </c>
      <c r="D273" s="23">
        <f>SUM(D276:D279)</f>
        <v>0</v>
      </c>
      <c r="E273" s="23">
        <f t="shared" si="6"/>
        <v>0</v>
      </c>
    </row>
    <row r="274" spans="1:5" ht="12.75" customHeight="1">
      <c r="A274" s="13">
        <v>271501</v>
      </c>
      <c r="B274" s="25" t="s">
        <v>200</v>
      </c>
      <c r="C274" s="24"/>
      <c r="D274" s="24">
        <v>0</v>
      </c>
      <c r="E274" s="24">
        <f t="shared" si="6"/>
        <v>0</v>
      </c>
    </row>
    <row r="275" spans="1:5" ht="12.75" customHeight="1">
      <c r="A275" s="13">
        <v>271503</v>
      </c>
      <c r="B275" s="25" t="s">
        <v>201</v>
      </c>
      <c r="C275" s="24"/>
      <c r="D275" s="24">
        <v>0</v>
      </c>
      <c r="E275" s="24">
        <f t="shared" si="6"/>
        <v>0</v>
      </c>
    </row>
    <row r="276" spans="1:5" ht="12.75" customHeight="1">
      <c r="A276" s="13">
        <v>271504</v>
      </c>
      <c r="B276" s="25" t="s">
        <v>203</v>
      </c>
      <c r="C276" s="24"/>
      <c r="D276" s="24">
        <v>0</v>
      </c>
      <c r="E276" s="24">
        <f t="shared" si="6"/>
        <v>0</v>
      </c>
    </row>
    <row r="277" spans="1:5" ht="12.75" customHeight="1">
      <c r="A277" s="13">
        <v>271506</v>
      </c>
      <c r="B277" s="25" t="s">
        <v>202</v>
      </c>
      <c r="C277" s="24"/>
      <c r="D277" s="24">
        <v>0</v>
      </c>
      <c r="E277" s="24">
        <f t="shared" si="6"/>
        <v>0</v>
      </c>
    </row>
    <row r="278" spans="1:5" ht="12.75" customHeight="1">
      <c r="A278" s="13">
        <v>271507</v>
      </c>
      <c r="B278" s="25" t="s">
        <v>205</v>
      </c>
      <c r="C278" s="24"/>
      <c r="D278" s="24">
        <v>0</v>
      </c>
      <c r="E278" s="24">
        <f t="shared" si="6"/>
        <v>0</v>
      </c>
    </row>
    <row r="279" spans="1:5" ht="12.75" customHeight="1">
      <c r="A279" s="13">
        <v>271509</v>
      </c>
      <c r="B279" s="25" t="s">
        <v>204</v>
      </c>
      <c r="C279" s="24"/>
      <c r="D279" s="24">
        <v>0</v>
      </c>
      <c r="E279" s="24">
        <f t="shared" si="6"/>
        <v>0</v>
      </c>
    </row>
    <row r="280" spans="1:5" ht="12.75" customHeight="1">
      <c r="A280" s="13">
        <v>290000</v>
      </c>
      <c r="B280" s="19" t="s">
        <v>210</v>
      </c>
      <c r="C280" s="23">
        <f>+C285+C281+C288</f>
        <v>630191</v>
      </c>
      <c r="D280" s="30">
        <v>0</v>
      </c>
      <c r="E280" s="30">
        <f t="shared" si="6"/>
        <v>630191</v>
      </c>
    </row>
    <row r="281" spans="1:5" ht="12.75" customHeight="1">
      <c r="A281" s="13">
        <v>290500</v>
      </c>
      <c r="B281" s="19" t="s">
        <v>595</v>
      </c>
      <c r="C281" s="23">
        <f>SUM(C282:C283)</f>
        <v>7166</v>
      </c>
      <c r="D281" s="30">
        <v>0</v>
      </c>
      <c r="E281" s="30">
        <f>+C281+D281</f>
        <v>7166</v>
      </c>
    </row>
    <row r="282" spans="1:5" ht="12.75" customHeight="1">
      <c r="A282" s="13">
        <v>290502</v>
      </c>
      <c r="B282" s="25" t="s">
        <v>613</v>
      </c>
      <c r="C282" s="24">
        <v>6304</v>
      </c>
      <c r="D282" s="30"/>
      <c r="E282" s="31">
        <f>SUM(C282:D282)</f>
        <v>6304</v>
      </c>
    </row>
    <row r="283" spans="1:5" ht="12.75" customHeight="1">
      <c r="A283" s="13">
        <v>290503</v>
      </c>
      <c r="B283" s="25" t="s">
        <v>614</v>
      </c>
      <c r="C283" s="24">
        <v>862</v>
      </c>
      <c r="D283" s="30"/>
      <c r="E283" s="31">
        <f>SUM(C283:D283)</f>
        <v>862</v>
      </c>
    </row>
    <row r="284" spans="1:5" ht="12.75" customHeight="1">
      <c r="A284" s="13">
        <v>290590</v>
      </c>
      <c r="B284" s="25" t="s">
        <v>596</v>
      </c>
      <c r="C284" s="24"/>
      <c r="D284" s="30"/>
      <c r="E284" s="31">
        <f>SUM(C284:D284)</f>
        <v>0</v>
      </c>
    </row>
    <row r="285" spans="1:5" ht="12.75" customHeight="1">
      <c r="A285" s="13">
        <v>291000</v>
      </c>
      <c r="B285" s="19" t="s">
        <v>211</v>
      </c>
      <c r="C285" s="23">
        <f>SUM(C286:C287)</f>
        <v>598331</v>
      </c>
      <c r="D285" s="30">
        <v>0</v>
      </c>
      <c r="E285" s="30">
        <f t="shared" si="6"/>
        <v>598331</v>
      </c>
    </row>
    <row r="286" spans="1:5" ht="12.75" customHeight="1">
      <c r="A286" s="13">
        <v>291007</v>
      </c>
      <c r="B286" s="25" t="s">
        <v>597</v>
      </c>
      <c r="C286" s="24">
        <v>527793</v>
      </c>
      <c r="D286" s="30"/>
      <c r="E286" s="31">
        <f>SUM(C286:D286)</f>
        <v>527793</v>
      </c>
    </row>
    <row r="287" spans="1:5" ht="12.75" customHeight="1">
      <c r="A287" s="13">
        <v>291090</v>
      </c>
      <c r="B287" s="25" t="s">
        <v>212</v>
      </c>
      <c r="C287" s="24">
        <v>70538</v>
      </c>
      <c r="D287" s="30">
        <v>0</v>
      </c>
      <c r="E287" s="31">
        <f t="shared" si="6"/>
        <v>70538</v>
      </c>
    </row>
    <row r="288" spans="1:5" ht="12.75" customHeight="1">
      <c r="A288" s="13">
        <v>299600</v>
      </c>
      <c r="B288" s="19" t="s">
        <v>598</v>
      </c>
      <c r="C288" s="23">
        <f>SUM(C289:C290)</f>
        <v>24694</v>
      </c>
      <c r="D288" s="30">
        <v>0</v>
      </c>
      <c r="E288" s="30">
        <f>+C288+D288</f>
        <v>24694</v>
      </c>
    </row>
    <row r="289" spans="1:5" ht="12.75" customHeight="1">
      <c r="A289" s="13">
        <v>299601</v>
      </c>
      <c r="B289" s="25" t="s">
        <v>599</v>
      </c>
      <c r="C289" s="24">
        <v>24694</v>
      </c>
      <c r="D289" s="30"/>
      <c r="E289" s="31">
        <f>SUM(C289:D289)</f>
        <v>24694</v>
      </c>
    </row>
    <row r="290" spans="1:6" ht="12.75" customHeight="1">
      <c r="A290" s="13">
        <v>300000</v>
      </c>
      <c r="B290" s="14" t="s">
        <v>213</v>
      </c>
      <c r="C290" s="2">
        <f>+C291</f>
        <v>0</v>
      </c>
      <c r="D290" s="30">
        <f>+D291</f>
        <v>-359366247</v>
      </c>
      <c r="E290" s="30">
        <f t="shared" si="6"/>
        <v>-359366247</v>
      </c>
      <c r="F290" s="18"/>
    </row>
    <row r="291" spans="1:5" ht="12.75" customHeight="1">
      <c r="A291" s="13">
        <v>310000</v>
      </c>
      <c r="B291" s="14" t="s">
        <v>214</v>
      </c>
      <c r="C291" s="30">
        <f>SUM(C292+C294+C298+C305+C308+C311+C315+C318)</f>
        <v>0</v>
      </c>
      <c r="D291" s="30">
        <f>+D292+D294+D298+D305+D308+D311+D318+D324</f>
        <v>-359366247</v>
      </c>
      <c r="E291" s="30">
        <f t="shared" si="6"/>
        <v>-359366247</v>
      </c>
    </row>
    <row r="292" spans="1:5" ht="12.75" customHeight="1">
      <c r="A292" s="13">
        <v>310500</v>
      </c>
      <c r="B292" s="14" t="s">
        <v>215</v>
      </c>
      <c r="C292" s="32">
        <f>+C293</f>
        <v>0</v>
      </c>
      <c r="D292" s="32">
        <f>+D293</f>
        <v>-296766849</v>
      </c>
      <c r="E292" s="32">
        <f t="shared" si="6"/>
        <v>-296766849</v>
      </c>
    </row>
    <row r="293" spans="1:5" ht="12.75" customHeight="1">
      <c r="A293" s="13">
        <v>310501</v>
      </c>
      <c r="B293" s="33" t="s">
        <v>216</v>
      </c>
      <c r="C293" s="24">
        <v>0</v>
      </c>
      <c r="D293" s="34">
        <v>-296766849</v>
      </c>
      <c r="E293" s="34">
        <f t="shared" si="6"/>
        <v>-296766849</v>
      </c>
    </row>
    <row r="294" spans="1:5" ht="12.75" customHeight="1">
      <c r="A294" s="13">
        <v>311000</v>
      </c>
      <c r="B294" s="14" t="s">
        <v>217</v>
      </c>
      <c r="C294" s="23">
        <v>0</v>
      </c>
      <c r="D294" s="23">
        <f>SUM(D295:D297)</f>
        <v>-89424635</v>
      </c>
      <c r="E294" s="23">
        <f aca="true" t="shared" si="7" ref="E294:E378">+C294+D294</f>
        <v>-89424635</v>
      </c>
    </row>
    <row r="295" spans="1:5" ht="12.75" customHeight="1">
      <c r="A295" s="13">
        <v>311001</v>
      </c>
      <c r="B295" s="16" t="s">
        <v>218</v>
      </c>
      <c r="C295" s="24">
        <v>0</v>
      </c>
      <c r="D295" s="24"/>
      <c r="E295" s="24">
        <f t="shared" si="7"/>
        <v>0</v>
      </c>
    </row>
    <row r="296" spans="1:5" ht="12.75" customHeight="1">
      <c r="A296" s="13">
        <v>311002</v>
      </c>
      <c r="B296" s="16" t="s">
        <v>219</v>
      </c>
      <c r="C296" s="24">
        <v>0</v>
      </c>
      <c r="D296" s="24">
        <f>-90995667+830420+740612</f>
        <v>-89424635</v>
      </c>
      <c r="E296" s="24">
        <f>+C296+D296</f>
        <v>-89424635</v>
      </c>
    </row>
    <row r="297" spans="1:5" ht="12.75" customHeight="1">
      <c r="A297" s="13">
        <v>311004</v>
      </c>
      <c r="B297" s="16" t="s">
        <v>561</v>
      </c>
      <c r="C297" s="24">
        <v>0</v>
      </c>
      <c r="D297" s="24"/>
      <c r="E297" s="24">
        <f>+C297+D297</f>
        <v>0</v>
      </c>
    </row>
    <row r="298" spans="1:5" ht="12.75" customHeight="1">
      <c r="A298" s="13">
        <v>311500</v>
      </c>
      <c r="B298" s="14" t="s">
        <v>220</v>
      </c>
      <c r="C298" s="23">
        <f>SUM(C299:C304)</f>
        <v>0</v>
      </c>
      <c r="D298" s="23">
        <f>SUM(D299:D304)</f>
        <v>14917693</v>
      </c>
      <c r="E298" s="23">
        <f t="shared" si="7"/>
        <v>14917693</v>
      </c>
    </row>
    <row r="299" spans="1:5" ht="12.75" customHeight="1">
      <c r="A299" s="13">
        <v>311502</v>
      </c>
      <c r="B299" s="16" t="s">
        <v>221</v>
      </c>
      <c r="C299" s="24">
        <v>0</v>
      </c>
      <c r="D299" s="24"/>
      <c r="E299" s="24">
        <f t="shared" si="7"/>
        <v>0</v>
      </c>
    </row>
    <row r="300" spans="1:5" ht="12.75" customHeight="1">
      <c r="A300" s="13">
        <v>311552</v>
      </c>
      <c r="B300" s="16" t="s">
        <v>559</v>
      </c>
      <c r="C300" s="24">
        <v>0</v>
      </c>
      <c r="D300" s="24">
        <v>12905980</v>
      </c>
      <c r="E300" s="24">
        <f t="shared" si="7"/>
        <v>12905980</v>
      </c>
    </row>
    <row r="301" spans="1:5" ht="12.75" customHeight="1">
      <c r="A301" s="13">
        <v>311562</v>
      </c>
      <c r="B301" s="16" t="s">
        <v>101</v>
      </c>
      <c r="C301" s="24">
        <v>0</v>
      </c>
      <c r="D301" s="24">
        <v>2011713</v>
      </c>
      <c r="E301" s="24">
        <f t="shared" si="7"/>
        <v>2011713</v>
      </c>
    </row>
    <row r="302" spans="1:5" ht="12.75" customHeight="1">
      <c r="A302" s="13">
        <v>311569</v>
      </c>
      <c r="B302" s="16" t="s">
        <v>362</v>
      </c>
      <c r="C302" s="24">
        <v>0</v>
      </c>
      <c r="D302" s="24"/>
      <c r="E302" s="24">
        <f t="shared" si="7"/>
        <v>0</v>
      </c>
    </row>
    <row r="303" spans="1:5" ht="12.75" customHeight="1">
      <c r="A303" s="13">
        <v>311570</v>
      </c>
      <c r="B303" s="16" t="s">
        <v>363</v>
      </c>
      <c r="C303" s="24">
        <v>0</v>
      </c>
      <c r="D303" s="24"/>
      <c r="E303" s="24">
        <f t="shared" si="7"/>
        <v>0</v>
      </c>
    </row>
    <row r="304" spans="1:5" ht="12.75" customHeight="1">
      <c r="A304" s="13">
        <v>311571</v>
      </c>
      <c r="B304" s="16" t="s">
        <v>533</v>
      </c>
      <c r="C304" s="24">
        <v>0</v>
      </c>
      <c r="D304" s="24"/>
      <c r="E304" s="24">
        <f t="shared" si="7"/>
        <v>0</v>
      </c>
    </row>
    <row r="305" spans="1:5" ht="12.75" customHeight="1">
      <c r="A305" s="13">
        <v>311700</v>
      </c>
      <c r="B305" s="14" t="s">
        <v>222</v>
      </c>
      <c r="C305" s="23">
        <f>+C306+C307</f>
        <v>0</v>
      </c>
      <c r="D305" s="23">
        <f>+D306+D307</f>
        <v>0</v>
      </c>
      <c r="E305" s="23">
        <f t="shared" si="7"/>
        <v>0</v>
      </c>
    </row>
    <row r="306" spans="1:5" ht="13.5" customHeight="1">
      <c r="A306" s="13">
        <v>311703</v>
      </c>
      <c r="B306" s="16" t="s">
        <v>223</v>
      </c>
      <c r="C306" s="24">
        <v>0</v>
      </c>
      <c r="D306" s="24">
        <v>0</v>
      </c>
      <c r="E306" s="24">
        <f t="shared" si="7"/>
        <v>0</v>
      </c>
    </row>
    <row r="307" spans="1:5" ht="12.75" customHeight="1">
      <c r="A307" s="13">
        <v>311725</v>
      </c>
      <c r="B307" s="16" t="s">
        <v>224</v>
      </c>
      <c r="C307" s="24">
        <v>0</v>
      </c>
      <c r="D307" s="24">
        <v>0</v>
      </c>
      <c r="E307" s="24">
        <f t="shared" si="7"/>
        <v>0</v>
      </c>
    </row>
    <row r="308" spans="1:5" ht="12.75" customHeight="1">
      <c r="A308" s="13">
        <v>312000</v>
      </c>
      <c r="B308" s="19" t="s">
        <v>225</v>
      </c>
      <c r="C308" s="23">
        <f>SUM(C309:C310)</f>
        <v>0</v>
      </c>
      <c r="D308" s="23">
        <f>SUM(D309:D310)</f>
        <v>879893</v>
      </c>
      <c r="E308" s="23">
        <f t="shared" si="7"/>
        <v>879893</v>
      </c>
    </row>
    <row r="309" spans="1:5" ht="12.75" customHeight="1">
      <c r="A309" s="13">
        <v>312001</v>
      </c>
      <c r="B309" s="25" t="s">
        <v>226</v>
      </c>
      <c r="C309" s="24">
        <v>0</v>
      </c>
      <c r="D309" s="24"/>
      <c r="E309" s="24">
        <f t="shared" si="7"/>
        <v>0</v>
      </c>
    </row>
    <row r="310" spans="1:5" ht="12.75" customHeight="1">
      <c r="A310" s="13">
        <v>312002</v>
      </c>
      <c r="B310" s="16" t="s">
        <v>227</v>
      </c>
      <c r="C310" s="24">
        <v>0</v>
      </c>
      <c r="D310" s="24">
        <v>879893</v>
      </c>
      <c r="E310" s="24">
        <f t="shared" si="7"/>
        <v>879893</v>
      </c>
    </row>
    <row r="311" spans="1:5" ht="12.75" customHeight="1">
      <c r="A311" s="13">
        <v>312500</v>
      </c>
      <c r="B311" s="14" t="s">
        <v>228</v>
      </c>
      <c r="C311" s="23">
        <f>SUM(C312:C314)</f>
        <v>0</v>
      </c>
      <c r="D311" s="23">
        <f>SUM(D312:D314)</f>
        <v>10396490</v>
      </c>
      <c r="E311" s="23">
        <f t="shared" si="7"/>
        <v>10396490</v>
      </c>
    </row>
    <row r="312" spans="1:5" ht="12.75" customHeight="1">
      <c r="A312" s="13">
        <v>312505</v>
      </c>
      <c r="B312" s="16" t="s">
        <v>229</v>
      </c>
      <c r="C312" s="24">
        <v>0</v>
      </c>
      <c r="D312" s="24">
        <v>3952326</v>
      </c>
      <c r="E312" s="24">
        <f t="shared" si="7"/>
        <v>3952326</v>
      </c>
    </row>
    <row r="313" spans="1:5" ht="12.75" customHeight="1">
      <c r="A313" s="13">
        <v>312506</v>
      </c>
      <c r="B313" s="16" t="s">
        <v>558</v>
      </c>
      <c r="C313" s="24">
        <v>0</v>
      </c>
      <c r="D313" s="24">
        <v>4157265</v>
      </c>
      <c r="E313" s="24">
        <f>+C313+D313</f>
        <v>4157265</v>
      </c>
    </row>
    <row r="314" spans="1:5" ht="12.75" customHeight="1">
      <c r="A314" s="13">
        <v>312509</v>
      </c>
      <c r="B314" s="16" t="s">
        <v>230</v>
      </c>
      <c r="C314" s="24">
        <v>0</v>
      </c>
      <c r="D314" s="24">
        <v>2286899</v>
      </c>
      <c r="E314" s="24">
        <f t="shared" si="7"/>
        <v>2286899</v>
      </c>
    </row>
    <row r="315" spans="1:5" ht="12.75" customHeight="1">
      <c r="A315" s="13">
        <v>313000</v>
      </c>
      <c r="B315" s="19" t="s">
        <v>231</v>
      </c>
      <c r="C315" s="23">
        <f>SUM(C316:C317)</f>
        <v>0</v>
      </c>
      <c r="D315" s="23">
        <f>SUM(D316:D317)</f>
        <v>0</v>
      </c>
      <c r="E315" s="23">
        <f t="shared" si="7"/>
        <v>0</v>
      </c>
    </row>
    <row r="316" spans="1:5" ht="12.75" customHeight="1">
      <c r="A316" s="13">
        <v>313001</v>
      </c>
      <c r="B316" s="16" t="s">
        <v>232</v>
      </c>
      <c r="C316" s="24">
        <v>0</v>
      </c>
      <c r="D316" s="24">
        <v>0</v>
      </c>
      <c r="E316" s="24">
        <f t="shared" si="7"/>
        <v>0</v>
      </c>
    </row>
    <row r="317" spans="1:5" ht="12.75" customHeight="1">
      <c r="A317" s="13">
        <v>313002</v>
      </c>
      <c r="B317" s="25" t="s">
        <v>233</v>
      </c>
      <c r="C317" s="24">
        <v>0</v>
      </c>
      <c r="D317" s="24">
        <v>0</v>
      </c>
      <c r="E317" s="24">
        <f t="shared" si="7"/>
        <v>0</v>
      </c>
    </row>
    <row r="318" spans="1:5" ht="12.75" customHeight="1">
      <c r="A318" s="13">
        <v>313500</v>
      </c>
      <c r="B318" s="14" t="s">
        <v>234</v>
      </c>
      <c r="C318" s="23">
        <f>SUM(C319:C323)</f>
        <v>0</v>
      </c>
      <c r="D318" s="23">
        <f>SUM(D319:D323)</f>
        <v>0</v>
      </c>
      <c r="E318" s="23">
        <f t="shared" si="7"/>
        <v>0</v>
      </c>
    </row>
    <row r="319" spans="1:5" ht="12.75" customHeight="1">
      <c r="A319" s="13">
        <v>313506</v>
      </c>
      <c r="B319" s="16" t="s">
        <v>221</v>
      </c>
      <c r="C319" s="24">
        <v>0</v>
      </c>
      <c r="D319" s="24"/>
      <c r="E319" s="24">
        <f t="shared" si="7"/>
        <v>0</v>
      </c>
    </row>
    <row r="320" spans="1:5" ht="12.75" customHeight="1">
      <c r="A320" s="13">
        <v>313507</v>
      </c>
      <c r="B320" s="25" t="s">
        <v>235</v>
      </c>
      <c r="C320" s="24">
        <v>0</v>
      </c>
      <c r="D320" s="24"/>
      <c r="E320" s="24">
        <f t="shared" si="7"/>
        <v>0</v>
      </c>
    </row>
    <row r="321" spans="1:5" ht="12.75" customHeight="1">
      <c r="A321" s="13">
        <v>313509</v>
      </c>
      <c r="B321" s="16" t="s">
        <v>236</v>
      </c>
      <c r="C321" s="24">
        <v>0</v>
      </c>
      <c r="D321" s="24"/>
      <c r="E321" s="24">
        <f t="shared" si="7"/>
        <v>0</v>
      </c>
    </row>
    <row r="322" spans="1:5" ht="12.75" customHeight="1">
      <c r="A322" s="13">
        <v>313510</v>
      </c>
      <c r="B322" s="16" t="s">
        <v>237</v>
      </c>
      <c r="C322" s="24">
        <v>0</v>
      </c>
      <c r="D322" s="24"/>
      <c r="E322" s="24">
        <f t="shared" si="7"/>
        <v>0</v>
      </c>
    </row>
    <row r="323" spans="1:5" ht="12.75" customHeight="1">
      <c r="A323" s="13">
        <v>313512</v>
      </c>
      <c r="B323" s="16" t="s">
        <v>238</v>
      </c>
      <c r="C323" s="24">
        <v>0</v>
      </c>
      <c r="D323" s="24"/>
      <c r="E323" s="24">
        <f t="shared" si="7"/>
        <v>0</v>
      </c>
    </row>
    <row r="324" spans="1:5" ht="12.75" customHeight="1">
      <c r="A324" s="13">
        <v>313800</v>
      </c>
      <c r="B324" s="14" t="s">
        <v>562</v>
      </c>
      <c r="C324" s="23">
        <f>SUM(C325:C329)</f>
        <v>0</v>
      </c>
      <c r="D324" s="23">
        <f>+D325</f>
        <v>631161</v>
      </c>
      <c r="E324" s="23">
        <f>+C324+D324</f>
        <v>631161</v>
      </c>
    </row>
    <row r="325" spans="1:5" ht="12.75" customHeight="1">
      <c r="A325" s="13">
        <v>313806</v>
      </c>
      <c r="B325" s="16" t="s">
        <v>221</v>
      </c>
      <c r="C325" s="24">
        <v>0</v>
      </c>
      <c r="D325" s="24">
        <v>631161</v>
      </c>
      <c r="E325" s="24">
        <f>+C325+D325</f>
        <v>631161</v>
      </c>
    </row>
    <row r="326" spans="1:6" ht="11.25">
      <c r="A326" s="9">
        <v>400000</v>
      </c>
      <c r="B326" s="2" t="s">
        <v>239</v>
      </c>
      <c r="C326" s="2">
        <f>+C351+C327+C348+C368</f>
        <v>0</v>
      </c>
      <c r="D326" s="2">
        <f>+D327+D351+D368+D342+D348</f>
        <v>10665495758</v>
      </c>
      <c r="E326" s="2">
        <f t="shared" si="7"/>
        <v>10665495758</v>
      </c>
      <c r="F326" s="18"/>
    </row>
    <row r="327" spans="1:5" ht="11.25">
      <c r="A327" s="9">
        <v>410000</v>
      </c>
      <c r="B327" s="2" t="s">
        <v>240</v>
      </c>
      <c r="C327" s="2">
        <f>+C328+C335+C339</f>
        <v>0</v>
      </c>
      <c r="D327" s="2">
        <f>+D328+D335+D339</f>
        <v>108268763</v>
      </c>
      <c r="E327" s="2">
        <f t="shared" si="7"/>
        <v>108268763</v>
      </c>
    </row>
    <row r="328" spans="1:5" ht="11.25">
      <c r="A328" s="9">
        <v>411000</v>
      </c>
      <c r="B328" s="2" t="s">
        <v>241</v>
      </c>
      <c r="C328" s="2">
        <f>SUM(C330:C334)</f>
        <v>0</v>
      </c>
      <c r="D328" s="2">
        <f>SUM(D329:D334)</f>
        <v>2552895</v>
      </c>
      <c r="E328" s="2">
        <f t="shared" si="7"/>
        <v>2552895</v>
      </c>
    </row>
    <row r="329" spans="1:5" ht="11.25">
      <c r="A329" s="9">
        <v>411001</v>
      </c>
      <c r="B329" s="18" t="s">
        <v>242</v>
      </c>
      <c r="C329" s="2"/>
      <c r="D329" s="18">
        <v>2469664</v>
      </c>
      <c r="E329" s="18">
        <f aca="true" t="shared" si="8" ref="E329:E334">SUM(C329:D329)</f>
        <v>2469664</v>
      </c>
    </row>
    <row r="330" spans="1:5" ht="11.25">
      <c r="A330" s="9">
        <v>411002</v>
      </c>
      <c r="B330" s="18" t="s">
        <v>243</v>
      </c>
      <c r="C330" s="18">
        <v>0</v>
      </c>
      <c r="D330" s="18"/>
      <c r="E330" s="18">
        <f t="shared" si="8"/>
        <v>0</v>
      </c>
    </row>
    <row r="331" spans="1:5" ht="11.25">
      <c r="A331" s="9">
        <v>411016</v>
      </c>
      <c r="B331" s="18" t="s">
        <v>244</v>
      </c>
      <c r="C331" s="18">
        <v>0</v>
      </c>
      <c r="D331" s="18">
        <v>53576</v>
      </c>
      <c r="E331" s="18">
        <f t="shared" si="8"/>
        <v>53576</v>
      </c>
    </row>
    <row r="332" spans="1:5" ht="11.25">
      <c r="A332" s="9">
        <v>411021</v>
      </c>
      <c r="B332" s="18" t="s">
        <v>563</v>
      </c>
      <c r="C332" s="18">
        <v>0</v>
      </c>
      <c r="D332" s="18">
        <v>17662</v>
      </c>
      <c r="E332" s="18">
        <f t="shared" si="8"/>
        <v>17662</v>
      </c>
    </row>
    <row r="333" spans="1:5" ht="11.25">
      <c r="A333" s="9">
        <v>411032</v>
      </c>
      <c r="B333" s="18" t="s">
        <v>546</v>
      </c>
      <c r="C333" s="18"/>
      <c r="D333" s="18">
        <v>9228</v>
      </c>
      <c r="E333" s="18">
        <f t="shared" si="8"/>
        <v>9228</v>
      </c>
    </row>
    <row r="334" spans="1:5" ht="11.25">
      <c r="A334" s="9">
        <v>411090</v>
      </c>
      <c r="B334" s="18" t="s">
        <v>245</v>
      </c>
      <c r="C334" s="18">
        <v>0</v>
      </c>
      <c r="D334" s="18">
        <v>2765</v>
      </c>
      <c r="E334" s="18">
        <f t="shared" si="8"/>
        <v>2765</v>
      </c>
    </row>
    <row r="335" spans="1:5" s="26" customFormat="1" ht="11.25">
      <c r="A335" s="9">
        <v>412000</v>
      </c>
      <c r="B335" s="2" t="s">
        <v>246</v>
      </c>
      <c r="C335" s="2">
        <f>+C337+C336+C338</f>
        <v>0</v>
      </c>
      <c r="D335" s="2">
        <f>SUM(D336:D338)</f>
        <v>105715868</v>
      </c>
      <c r="E335" s="2">
        <f t="shared" si="7"/>
        <v>105715868</v>
      </c>
    </row>
    <row r="336" spans="1:5" ht="11.25">
      <c r="A336" s="9">
        <v>412014</v>
      </c>
      <c r="B336" s="18" t="s">
        <v>247</v>
      </c>
      <c r="C336" s="18">
        <v>0</v>
      </c>
      <c r="D336" s="18">
        <v>98887207</v>
      </c>
      <c r="E336" s="18">
        <f t="shared" si="7"/>
        <v>98887207</v>
      </c>
    </row>
    <row r="337" spans="1:5" ht="11.25">
      <c r="A337" s="9">
        <v>412015</v>
      </c>
      <c r="B337" s="18" t="s">
        <v>37</v>
      </c>
      <c r="C337" s="18">
        <v>0</v>
      </c>
      <c r="D337" s="18">
        <v>2178253</v>
      </c>
      <c r="E337" s="18">
        <f t="shared" si="7"/>
        <v>2178253</v>
      </c>
    </row>
    <row r="338" spans="1:5" ht="11.25">
      <c r="A338" s="9">
        <v>412043</v>
      </c>
      <c r="B338" s="18" t="s">
        <v>622</v>
      </c>
      <c r="C338" s="18">
        <v>0</v>
      </c>
      <c r="D338" s="18">
        <v>4650408</v>
      </c>
      <c r="E338" s="18">
        <f t="shared" si="7"/>
        <v>4650408</v>
      </c>
    </row>
    <row r="339" spans="1:5" ht="11.25">
      <c r="A339" s="9">
        <v>419500</v>
      </c>
      <c r="B339" s="2" t="s">
        <v>248</v>
      </c>
      <c r="C339" s="2">
        <f>+C341</f>
        <v>0</v>
      </c>
      <c r="D339" s="2">
        <f>SUM(D340:D341)</f>
        <v>0</v>
      </c>
      <c r="E339" s="2">
        <f t="shared" si="7"/>
        <v>0</v>
      </c>
    </row>
    <row r="340" spans="1:5" ht="11.25">
      <c r="A340" s="9">
        <v>419502</v>
      </c>
      <c r="B340" s="18" t="s">
        <v>249</v>
      </c>
      <c r="C340" s="18">
        <v>0</v>
      </c>
      <c r="D340" s="18"/>
      <c r="E340" s="18">
        <f t="shared" si="7"/>
        <v>0</v>
      </c>
    </row>
    <row r="341" spans="1:5" ht="11.25">
      <c r="A341" s="9">
        <v>419504</v>
      </c>
      <c r="B341" s="18" t="s">
        <v>250</v>
      </c>
      <c r="C341" s="18">
        <v>0</v>
      </c>
      <c r="D341" s="18"/>
      <c r="E341" s="18">
        <f t="shared" si="7"/>
        <v>0</v>
      </c>
    </row>
    <row r="342" spans="1:5" ht="11.25">
      <c r="A342" s="9">
        <v>430000</v>
      </c>
      <c r="B342" s="2" t="s">
        <v>600</v>
      </c>
      <c r="C342" s="2">
        <f>+C343+C346</f>
        <v>0</v>
      </c>
      <c r="D342" s="2">
        <f>+D343+D346</f>
        <v>3093569</v>
      </c>
      <c r="E342" s="2">
        <f>+C342+D342</f>
        <v>3093569</v>
      </c>
    </row>
    <row r="343" spans="1:5" ht="11.25">
      <c r="A343" s="9">
        <v>430500</v>
      </c>
      <c r="B343" s="2" t="s">
        <v>601</v>
      </c>
      <c r="C343" s="2">
        <f>SUM(C344:C345)</f>
        <v>0</v>
      </c>
      <c r="D343" s="2">
        <f>SUM(D344:D345)</f>
        <v>3484065</v>
      </c>
      <c r="E343" s="18">
        <f>+C343+D343</f>
        <v>3484065</v>
      </c>
    </row>
    <row r="344" spans="1:5" ht="11.25">
      <c r="A344" s="9">
        <v>430512</v>
      </c>
      <c r="B344" s="18" t="s">
        <v>602</v>
      </c>
      <c r="C344" s="18"/>
      <c r="D344" s="18">
        <v>3344835</v>
      </c>
      <c r="E344" s="18">
        <f>+C344+D344</f>
        <v>3344835</v>
      </c>
    </row>
    <row r="345" spans="1:5" ht="11.25">
      <c r="A345" s="9">
        <v>430515</v>
      </c>
      <c r="B345" s="18" t="s">
        <v>603</v>
      </c>
      <c r="C345" s="18"/>
      <c r="D345" s="18">
        <v>139230</v>
      </c>
      <c r="E345" s="18">
        <f>+C345+D345</f>
        <v>139230</v>
      </c>
    </row>
    <row r="346" spans="1:5" ht="11.25">
      <c r="A346" s="9">
        <v>439500</v>
      </c>
      <c r="B346" s="2" t="s">
        <v>604</v>
      </c>
      <c r="C346" s="2">
        <f>SUM(C347)</f>
        <v>0</v>
      </c>
      <c r="D346" s="2">
        <f>SUM(D347)</f>
        <v>-390496</v>
      </c>
      <c r="E346" s="2">
        <f>SUM(C346:D346)</f>
        <v>-390496</v>
      </c>
    </row>
    <row r="347" spans="1:5" ht="11.25">
      <c r="A347" s="9">
        <v>439501</v>
      </c>
      <c r="B347" s="18" t="s">
        <v>584</v>
      </c>
      <c r="C347" s="18"/>
      <c r="D347" s="18">
        <v>-390496</v>
      </c>
      <c r="E347" s="18">
        <f>SUM(C347:D347)</f>
        <v>-390496</v>
      </c>
    </row>
    <row r="348" spans="1:5" ht="11.25">
      <c r="A348" s="9">
        <v>440000</v>
      </c>
      <c r="B348" s="2" t="s">
        <v>251</v>
      </c>
      <c r="C348" s="2">
        <v>0</v>
      </c>
      <c r="D348" s="2">
        <f>+D350</f>
        <v>1610785</v>
      </c>
      <c r="E348" s="2">
        <f t="shared" si="7"/>
        <v>1610785</v>
      </c>
    </row>
    <row r="349" spans="1:5" ht="11.25">
      <c r="A349" s="9">
        <v>440300</v>
      </c>
      <c r="B349" s="2" t="s">
        <v>605</v>
      </c>
      <c r="C349" s="18">
        <f>+C350</f>
        <v>0</v>
      </c>
      <c r="D349" s="2">
        <f>+D350</f>
        <v>1610785</v>
      </c>
      <c r="E349" s="18">
        <f t="shared" si="7"/>
        <v>1610785</v>
      </c>
    </row>
    <row r="350" spans="1:5" ht="11.25">
      <c r="A350" s="9">
        <v>440301</v>
      </c>
      <c r="B350" s="18" t="s">
        <v>252</v>
      </c>
      <c r="C350" s="18">
        <v>0</v>
      </c>
      <c r="D350" s="18">
        <v>1610785</v>
      </c>
      <c r="E350" s="18">
        <f t="shared" si="7"/>
        <v>1610785</v>
      </c>
    </row>
    <row r="351" spans="1:5" ht="11.25">
      <c r="A351" s="9">
        <v>470000</v>
      </c>
      <c r="B351" s="2" t="s">
        <v>253</v>
      </c>
      <c r="C351" s="2">
        <f>+C352+C366+C362+C358</f>
        <v>0</v>
      </c>
      <c r="D351" s="2">
        <f>+D352+D358+D362+D366</f>
        <v>10419402515</v>
      </c>
      <c r="E351" s="2">
        <f t="shared" si="7"/>
        <v>10419402515</v>
      </c>
    </row>
    <row r="352" spans="1:5" ht="11.25">
      <c r="A352" s="9">
        <v>470500</v>
      </c>
      <c r="B352" s="2" t="s">
        <v>254</v>
      </c>
      <c r="C352" s="2">
        <f>SUM(C353:C357)</f>
        <v>0</v>
      </c>
      <c r="D352" s="2">
        <f>SUM(D353:D357)</f>
        <v>10355313106</v>
      </c>
      <c r="E352" s="2">
        <f t="shared" si="7"/>
        <v>10355313106</v>
      </c>
    </row>
    <row r="353" spans="1:5" ht="11.25">
      <c r="A353" s="9">
        <v>470501</v>
      </c>
      <c r="B353" s="18" t="s">
        <v>255</v>
      </c>
      <c r="C353" s="18">
        <v>0</v>
      </c>
      <c r="D353" s="18">
        <v>14417612</v>
      </c>
      <c r="E353" s="18">
        <f t="shared" si="7"/>
        <v>14417612</v>
      </c>
    </row>
    <row r="354" spans="1:5" ht="11.25">
      <c r="A354" s="9">
        <v>470502</v>
      </c>
      <c r="B354" s="18" t="s">
        <v>256</v>
      </c>
      <c r="C354" s="18">
        <v>0</v>
      </c>
      <c r="D354" s="18">
        <v>2090904</v>
      </c>
      <c r="E354" s="18">
        <f t="shared" si="7"/>
        <v>2090904</v>
      </c>
    </row>
    <row r="355" spans="1:5" ht="11.25">
      <c r="A355" s="9">
        <v>470505</v>
      </c>
      <c r="B355" s="18" t="s">
        <v>257</v>
      </c>
      <c r="C355" s="18">
        <v>0</v>
      </c>
      <c r="D355" s="18">
        <v>65702851</v>
      </c>
      <c r="E355" s="18">
        <f t="shared" si="7"/>
        <v>65702851</v>
      </c>
    </row>
    <row r="356" spans="1:5" ht="11.25">
      <c r="A356" s="9">
        <v>470506</v>
      </c>
      <c r="B356" s="18" t="s">
        <v>258</v>
      </c>
      <c r="C356" s="18">
        <v>0</v>
      </c>
      <c r="D356" s="18">
        <v>10273101739</v>
      </c>
      <c r="E356" s="18">
        <f t="shared" si="7"/>
        <v>10273101739</v>
      </c>
    </row>
    <row r="357" spans="1:5" ht="11.25">
      <c r="A357" s="9">
        <v>470507</v>
      </c>
      <c r="B357" s="18" t="s">
        <v>259</v>
      </c>
      <c r="C357" s="18">
        <v>0</v>
      </c>
      <c r="D357" s="18"/>
      <c r="E357" s="18">
        <f t="shared" si="7"/>
        <v>0</v>
      </c>
    </row>
    <row r="358" spans="1:5" ht="11.25">
      <c r="A358" s="9">
        <v>472000</v>
      </c>
      <c r="B358" s="2" t="s">
        <v>260</v>
      </c>
      <c r="C358" s="2">
        <f>+C359+C360</f>
        <v>0</v>
      </c>
      <c r="D358" s="2">
        <f>SUM(D359:D361)</f>
        <v>920199</v>
      </c>
      <c r="E358" s="2">
        <f t="shared" si="7"/>
        <v>920199</v>
      </c>
    </row>
    <row r="359" spans="1:5" ht="11.25">
      <c r="A359" s="9">
        <v>472002</v>
      </c>
      <c r="B359" s="18" t="s">
        <v>249</v>
      </c>
      <c r="C359" s="18">
        <v>0</v>
      </c>
      <c r="D359" s="18"/>
      <c r="E359" s="18">
        <f t="shared" si="7"/>
        <v>0</v>
      </c>
    </row>
    <row r="360" spans="1:5" ht="11.25">
      <c r="A360" s="9">
        <v>472003</v>
      </c>
      <c r="B360" s="18" t="s">
        <v>261</v>
      </c>
      <c r="C360" s="18">
        <v>0</v>
      </c>
      <c r="D360" s="18"/>
      <c r="E360" s="18">
        <f t="shared" si="7"/>
        <v>0</v>
      </c>
    </row>
    <row r="361" spans="1:5" ht="11.25">
      <c r="A361" s="9">
        <v>472005</v>
      </c>
      <c r="B361" s="18" t="s">
        <v>262</v>
      </c>
      <c r="C361" s="18"/>
      <c r="D361" s="18">
        <v>920199</v>
      </c>
      <c r="E361" s="18">
        <f t="shared" si="7"/>
        <v>920199</v>
      </c>
    </row>
    <row r="362" spans="1:5" ht="11.25">
      <c r="A362" s="9">
        <v>472200</v>
      </c>
      <c r="B362" s="2" t="s">
        <v>263</v>
      </c>
      <c r="C362" s="2">
        <f>SUM(C363:C365)</f>
        <v>0</v>
      </c>
      <c r="D362" s="2">
        <f>SUM(D363:D365)</f>
        <v>63169210</v>
      </c>
      <c r="E362" s="2">
        <f t="shared" si="7"/>
        <v>63169210</v>
      </c>
    </row>
    <row r="363" spans="1:5" ht="11.25">
      <c r="A363" s="9">
        <v>472203</v>
      </c>
      <c r="B363" s="18" t="s">
        <v>264</v>
      </c>
      <c r="C363" s="18">
        <v>0</v>
      </c>
      <c r="D363" s="18">
        <f>51667690+1501520</f>
        <v>53169210</v>
      </c>
      <c r="E363" s="18">
        <f t="shared" si="7"/>
        <v>53169210</v>
      </c>
    </row>
    <row r="364" spans="1:5" ht="11.25">
      <c r="A364" s="9">
        <v>472205</v>
      </c>
      <c r="B364" s="18" t="s">
        <v>265</v>
      </c>
      <c r="C364" s="18">
        <v>0</v>
      </c>
      <c r="D364" s="18">
        <v>10000000</v>
      </c>
      <c r="E364" s="18">
        <f t="shared" si="7"/>
        <v>10000000</v>
      </c>
    </row>
    <row r="365" spans="1:5" ht="11.25">
      <c r="A365" s="9">
        <v>472290</v>
      </c>
      <c r="B365" s="18" t="s">
        <v>266</v>
      </c>
      <c r="C365" s="18">
        <v>0</v>
      </c>
      <c r="D365" s="18">
        <v>0</v>
      </c>
      <c r="E365" s="18">
        <f t="shared" si="7"/>
        <v>0</v>
      </c>
    </row>
    <row r="366" spans="1:5" ht="11.25">
      <c r="A366" s="9">
        <v>472500</v>
      </c>
      <c r="B366" s="2" t="s">
        <v>267</v>
      </c>
      <c r="C366" s="2">
        <f>+C367</f>
        <v>0</v>
      </c>
      <c r="D366" s="2">
        <f>+D367</f>
        <v>0</v>
      </c>
      <c r="E366" s="2">
        <f t="shared" si="7"/>
        <v>0</v>
      </c>
    </row>
    <row r="367" spans="1:5" ht="11.25">
      <c r="A367" s="9">
        <v>472501</v>
      </c>
      <c r="B367" s="18" t="s">
        <v>268</v>
      </c>
      <c r="C367" s="18">
        <v>0</v>
      </c>
      <c r="D367" s="18">
        <v>0</v>
      </c>
      <c r="E367" s="18">
        <f t="shared" si="7"/>
        <v>0</v>
      </c>
    </row>
    <row r="368" spans="1:5" ht="11.25">
      <c r="A368" s="9">
        <v>480000</v>
      </c>
      <c r="B368" s="2" t="s">
        <v>269</v>
      </c>
      <c r="C368" s="2">
        <f>+C369+C378+C376</f>
        <v>0</v>
      </c>
      <c r="D368" s="2">
        <f>+D369+D376+D378+D388</f>
        <v>133120126</v>
      </c>
      <c r="E368" s="2">
        <f t="shared" si="7"/>
        <v>133120126</v>
      </c>
    </row>
    <row r="369" spans="1:5" ht="11.25">
      <c r="A369" s="9">
        <v>480500</v>
      </c>
      <c r="B369" s="2" t="s">
        <v>270</v>
      </c>
      <c r="C369" s="2">
        <f>SUM(C370:C375)</f>
        <v>0</v>
      </c>
      <c r="D369" s="2">
        <f>SUM(D370:D375)</f>
        <v>34166261</v>
      </c>
      <c r="E369" s="2">
        <f t="shared" si="7"/>
        <v>34166261</v>
      </c>
    </row>
    <row r="370" spans="1:5" ht="11.25">
      <c r="A370" s="9">
        <v>480504</v>
      </c>
      <c r="B370" s="18" t="s">
        <v>271</v>
      </c>
      <c r="C370" s="18">
        <v>0</v>
      </c>
      <c r="D370" s="18">
        <v>23192</v>
      </c>
      <c r="E370" s="18">
        <f t="shared" si="7"/>
        <v>23192</v>
      </c>
    </row>
    <row r="371" spans="1:5" ht="11.25">
      <c r="A371" s="9">
        <v>480512</v>
      </c>
      <c r="B371" s="18" t="s">
        <v>554</v>
      </c>
      <c r="C371" s="18"/>
      <c r="D371" s="18"/>
      <c r="E371" s="18">
        <f t="shared" si="7"/>
        <v>0</v>
      </c>
    </row>
    <row r="372" spans="1:5" ht="11.25">
      <c r="A372" s="9">
        <v>480522</v>
      </c>
      <c r="B372" s="18" t="s">
        <v>272</v>
      </c>
      <c r="C372" s="18">
        <v>0</v>
      </c>
      <c r="D372" s="18">
        <f>21006508+269431+19214</f>
        <v>21295153</v>
      </c>
      <c r="E372" s="18">
        <f t="shared" si="7"/>
        <v>21295153</v>
      </c>
    </row>
    <row r="373" spans="1:5" ht="11.25">
      <c r="A373" s="9">
        <v>480544</v>
      </c>
      <c r="B373" s="18" t="s">
        <v>273</v>
      </c>
      <c r="C373" s="18"/>
      <c r="D373" s="18">
        <v>872929</v>
      </c>
      <c r="E373" s="18">
        <f t="shared" si="7"/>
        <v>872929</v>
      </c>
    </row>
    <row r="374" spans="1:5" ht="11.25">
      <c r="A374" s="9">
        <v>480545</v>
      </c>
      <c r="B374" s="18" t="s">
        <v>274</v>
      </c>
      <c r="C374" s="18">
        <v>0</v>
      </c>
      <c r="D374" s="18">
        <v>11974987</v>
      </c>
      <c r="E374" s="18">
        <f t="shared" si="7"/>
        <v>11974987</v>
      </c>
    </row>
    <row r="375" spans="1:5" ht="11.25">
      <c r="A375" s="9">
        <v>480590</v>
      </c>
      <c r="B375" s="18" t="s">
        <v>275</v>
      </c>
      <c r="C375" s="18">
        <v>0</v>
      </c>
      <c r="D375" s="18"/>
      <c r="E375" s="18">
        <f t="shared" si="7"/>
        <v>0</v>
      </c>
    </row>
    <row r="376" spans="1:5" ht="11.25">
      <c r="A376" s="9">
        <v>480700</v>
      </c>
      <c r="B376" s="2" t="s">
        <v>276</v>
      </c>
      <c r="C376" s="2">
        <f>+C377</f>
        <v>0</v>
      </c>
      <c r="D376" s="2">
        <f>+D377</f>
        <v>0</v>
      </c>
      <c r="E376" s="2">
        <f t="shared" si="7"/>
        <v>0</v>
      </c>
    </row>
    <row r="377" spans="1:5" ht="11.25">
      <c r="A377" s="9">
        <v>480725</v>
      </c>
      <c r="B377" s="18" t="s">
        <v>277</v>
      </c>
      <c r="C377" s="18">
        <v>0</v>
      </c>
      <c r="D377" s="18">
        <v>0</v>
      </c>
      <c r="E377" s="18">
        <f t="shared" si="7"/>
        <v>0</v>
      </c>
    </row>
    <row r="378" spans="1:5" ht="11.25">
      <c r="A378" s="9">
        <v>481000</v>
      </c>
      <c r="B378" s="2" t="s">
        <v>278</v>
      </c>
      <c r="C378" s="2">
        <f>SUM(C379:C387)</f>
        <v>0</v>
      </c>
      <c r="D378" s="2">
        <f>SUM(D379:D387)</f>
        <v>3784707</v>
      </c>
      <c r="E378" s="2">
        <f t="shared" si="7"/>
        <v>3784707</v>
      </c>
    </row>
    <row r="379" spans="1:5" ht="11.25">
      <c r="A379" s="9">
        <v>481001</v>
      </c>
      <c r="B379" s="18" t="s">
        <v>279</v>
      </c>
      <c r="C379" s="18">
        <v>0</v>
      </c>
      <c r="D379" s="18"/>
      <c r="E379" s="18">
        <f aca="true" t="shared" si="9" ref="E379:E388">+C379+D379</f>
        <v>0</v>
      </c>
    </row>
    <row r="380" spans="1:5" ht="11.25">
      <c r="A380" s="9">
        <v>481006</v>
      </c>
      <c r="B380" s="18" t="s">
        <v>107</v>
      </c>
      <c r="C380" s="18">
        <v>0</v>
      </c>
      <c r="D380" s="18">
        <v>1800</v>
      </c>
      <c r="E380" s="18">
        <f>+C380+D380</f>
        <v>1800</v>
      </c>
    </row>
    <row r="381" spans="1:5" ht="11.25">
      <c r="A381" s="9">
        <v>481007</v>
      </c>
      <c r="B381" s="18" t="s">
        <v>280</v>
      </c>
      <c r="C381" s="18">
        <v>0</v>
      </c>
      <c r="D381" s="18">
        <v>128</v>
      </c>
      <c r="E381" s="18">
        <f t="shared" si="9"/>
        <v>128</v>
      </c>
    </row>
    <row r="382" spans="1:5" ht="11.25">
      <c r="A382" s="9">
        <v>481008</v>
      </c>
      <c r="B382" s="18" t="s">
        <v>281</v>
      </c>
      <c r="C382" s="18">
        <v>0</v>
      </c>
      <c r="D382" s="18">
        <f>8574+52809</f>
        <v>61383</v>
      </c>
      <c r="E382" s="18">
        <f t="shared" si="9"/>
        <v>61383</v>
      </c>
    </row>
    <row r="383" spans="1:5" ht="11.25">
      <c r="A383" s="9">
        <v>481017</v>
      </c>
      <c r="B383" s="18" t="s">
        <v>282</v>
      </c>
      <c r="C383" s="18">
        <v>0</v>
      </c>
      <c r="D383" s="18"/>
      <c r="E383" s="18">
        <f t="shared" si="9"/>
        <v>0</v>
      </c>
    </row>
    <row r="384" spans="1:5" ht="11.25">
      <c r="A384" s="9">
        <v>481018</v>
      </c>
      <c r="B384" s="18" t="s">
        <v>283</v>
      </c>
      <c r="C384" s="18">
        <v>0</v>
      </c>
      <c r="D384" s="18"/>
      <c r="E384" s="18">
        <f t="shared" si="9"/>
        <v>0</v>
      </c>
    </row>
    <row r="385" spans="1:5" ht="11.25">
      <c r="A385" s="9">
        <v>481022</v>
      </c>
      <c r="B385" s="18" t="s">
        <v>428</v>
      </c>
      <c r="C385" s="18"/>
      <c r="D385" s="18">
        <v>654106</v>
      </c>
      <c r="E385" s="18">
        <f t="shared" si="9"/>
        <v>654106</v>
      </c>
    </row>
    <row r="386" spans="1:5" ht="11.25">
      <c r="A386" s="9">
        <v>481023</v>
      </c>
      <c r="B386" s="18" t="s">
        <v>284</v>
      </c>
      <c r="C386" s="18">
        <v>0</v>
      </c>
      <c r="D386" s="18">
        <f>3058228+7246</f>
        <v>3065474</v>
      </c>
      <c r="E386" s="18">
        <f t="shared" si="9"/>
        <v>3065474</v>
      </c>
    </row>
    <row r="387" spans="1:5" ht="11.25">
      <c r="A387" s="9">
        <v>481090</v>
      </c>
      <c r="B387" s="18" t="s">
        <v>285</v>
      </c>
      <c r="C387" s="18">
        <v>0</v>
      </c>
      <c r="D387" s="18">
        <v>1816</v>
      </c>
      <c r="E387" s="18">
        <f t="shared" si="9"/>
        <v>1816</v>
      </c>
    </row>
    <row r="388" spans="1:5" ht="11.25">
      <c r="A388" s="9">
        <v>481500</v>
      </c>
      <c r="B388" s="2" t="s">
        <v>286</v>
      </c>
      <c r="C388" s="2">
        <f>+C394</f>
        <v>0</v>
      </c>
      <c r="D388" s="2">
        <f>SUM(D389:D395)</f>
        <v>95169158</v>
      </c>
      <c r="E388" s="2">
        <f t="shared" si="9"/>
        <v>95169158</v>
      </c>
    </row>
    <row r="389" spans="1:5" ht="11.25">
      <c r="A389" s="9">
        <v>481507</v>
      </c>
      <c r="B389" s="18" t="s">
        <v>287</v>
      </c>
      <c r="C389" s="2">
        <v>0</v>
      </c>
      <c r="D389" s="18">
        <v>350</v>
      </c>
      <c r="E389" s="18">
        <f aca="true" t="shared" si="10" ref="E389:E398">+C389+D389</f>
        <v>350</v>
      </c>
    </row>
    <row r="390" spans="1:5" ht="11.25">
      <c r="A390" s="9">
        <v>481509</v>
      </c>
      <c r="B390" s="18" t="s">
        <v>54</v>
      </c>
      <c r="C390" s="2">
        <v>0</v>
      </c>
      <c r="D390" s="18"/>
      <c r="E390" s="18">
        <f t="shared" si="10"/>
        <v>0</v>
      </c>
    </row>
    <row r="391" spans="1:5" ht="11.25">
      <c r="A391" s="9">
        <v>481510</v>
      </c>
      <c r="B391" s="18" t="s">
        <v>250</v>
      </c>
      <c r="C391" s="2"/>
      <c r="D391" s="18">
        <v>4151973</v>
      </c>
      <c r="E391" s="18">
        <f t="shared" si="10"/>
        <v>4151973</v>
      </c>
    </row>
    <row r="392" spans="1:5" ht="11.25">
      <c r="A392" s="9">
        <v>481517</v>
      </c>
      <c r="B392" s="18" t="s">
        <v>584</v>
      </c>
      <c r="C392" s="2"/>
      <c r="D392" s="18">
        <v>24638</v>
      </c>
      <c r="E392" s="18">
        <f t="shared" si="10"/>
        <v>24638</v>
      </c>
    </row>
    <row r="393" spans="1:5" ht="11.25">
      <c r="A393" s="9">
        <v>481537</v>
      </c>
      <c r="B393" s="18" t="s">
        <v>288</v>
      </c>
      <c r="C393" s="18">
        <v>0</v>
      </c>
      <c r="D393" s="18"/>
      <c r="E393" s="18">
        <f t="shared" si="10"/>
        <v>0</v>
      </c>
    </row>
    <row r="394" spans="1:5" ht="11.25">
      <c r="A394" s="9">
        <v>481538</v>
      </c>
      <c r="B394" s="18" t="s">
        <v>289</v>
      </c>
      <c r="C394" s="18">
        <v>0</v>
      </c>
      <c r="D394" s="18">
        <v>9107039</v>
      </c>
      <c r="E394" s="18">
        <f t="shared" si="10"/>
        <v>9107039</v>
      </c>
    </row>
    <row r="395" spans="1:5" ht="11.25">
      <c r="A395" s="9">
        <v>481539</v>
      </c>
      <c r="B395" s="18" t="s">
        <v>536</v>
      </c>
      <c r="C395" s="18"/>
      <c r="D395" s="18">
        <v>81885158</v>
      </c>
      <c r="E395" s="18">
        <f t="shared" si="10"/>
        <v>81885158</v>
      </c>
    </row>
    <row r="396" spans="1:6" ht="11.25">
      <c r="A396" s="9">
        <v>500000</v>
      </c>
      <c r="B396" s="2" t="s">
        <v>290</v>
      </c>
      <c r="C396" s="2">
        <f>+C397+C484+C508+C555+C560+C565+C579+C598</f>
        <v>0</v>
      </c>
      <c r="D396" s="2">
        <f>+D397+D484+D508+D555+D560+D565+D579+D598</f>
        <v>10665495758</v>
      </c>
      <c r="E396" s="2">
        <f t="shared" si="10"/>
        <v>10665495758</v>
      </c>
      <c r="F396" s="18"/>
    </row>
    <row r="397" spans="1:5" ht="11.25">
      <c r="A397" s="9">
        <v>510000</v>
      </c>
      <c r="B397" s="2" t="s">
        <v>291</v>
      </c>
      <c r="C397" s="2">
        <f>+C398+C429+C436+C441+C426+C474</f>
        <v>0</v>
      </c>
      <c r="D397" s="2">
        <f>+D398+D426+D429+D436+D441+D474</f>
        <v>79191539</v>
      </c>
      <c r="E397" s="2">
        <f t="shared" si="10"/>
        <v>79191539</v>
      </c>
    </row>
    <row r="398" spans="1:5" ht="11.25">
      <c r="A398" s="9">
        <v>510100</v>
      </c>
      <c r="B398" s="2" t="s">
        <v>292</v>
      </c>
      <c r="C398" s="2">
        <f>SUM(C399:C424)</f>
        <v>0</v>
      </c>
      <c r="D398" s="2">
        <f>SUM(D399:D425)</f>
        <v>15131564</v>
      </c>
      <c r="E398" s="2">
        <f t="shared" si="10"/>
        <v>15131564</v>
      </c>
    </row>
    <row r="399" spans="1:5" ht="11.25">
      <c r="A399" s="9">
        <v>510101</v>
      </c>
      <c r="B399" s="18" t="s">
        <v>293</v>
      </c>
      <c r="C399" s="18">
        <v>0</v>
      </c>
      <c r="D399" s="18">
        <f>7901835+166557+339398</f>
        <v>8407790</v>
      </c>
      <c r="E399" s="18">
        <f>SUM(C399:D399)</f>
        <v>8407790</v>
      </c>
    </row>
    <row r="400" spans="1:5" ht="11.25">
      <c r="A400" s="9">
        <v>510102</v>
      </c>
      <c r="B400" s="18" t="s">
        <v>294</v>
      </c>
      <c r="C400" s="18">
        <v>0</v>
      </c>
      <c r="D400" s="18"/>
      <c r="E400" s="18">
        <f aca="true" t="shared" si="11" ref="E400:E425">SUM(C400:D400)</f>
        <v>0</v>
      </c>
    </row>
    <row r="401" spans="1:5" ht="11.25">
      <c r="A401" s="9">
        <v>510103</v>
      </c>
      <c r="B401" s="18" t="s">
        <v>295</v>
      </c>
      <c r="C401" s="18">
        <v>0</v>
      </c>
      <c r="D401" s="18">
        <f>83606+2508</f>
        <v>86114</v>
      </c>
      <c r="E401" s="18">
        <f t="shared" si="11"/>
        <v>86114</v>
      </c>
    </row>
    <row r="402" spans="1:5" ht="11.25">
      <c r="A402" s="9">
        <v>510105</v>
      </c>
      <c r="B402" s="18" t="s">
        <v>296</v>
      </c>
      <c r="C402" s="18">
        <v>0</v>
      </c>
      <c r="D402" s="18">
        <f>124940+10657</f>
        <v>135597</v>
      </c>
      <c r="E402" s="18">
        <f t="shared" si="11"/>
        <v>135597</v>
      </c>
    </row>
    <row r="403" spans="1:5" ht="11.25">
      <c r="A403" s="9">
        <v>510106</v>
      </c>
      <c r="B403" s="18" t="s">
        <v>297</v>
      </c>
      <c r="C403" s="18">
        <v>0</v>
      </c>
      <c r="D403" s="18">
        <f>621602+732035</f>
        <v>1353637</v>
      </c>
      <c r="E403" s="18">
        <f t="shared" si="11"/>
        <v>1353637</v>
      </c>
    </row>
    <row r="404" spans="1:5" ht="11.25">
      <c r="A404" s="9">
        <v>510107</v>
      </c>
      <c r="B404" s="18" t="s">
        <v>298</v>
      </c>
      <c r="C404" s="18">
        <v>0</v>
      </c>
      <c r="D404" s="18">
        <f>33630+23523</f>
        <v>57153</v>
      </c>
      <c r="E404" s="18">
        <f t="shared" si="11"/>
        <v>57153</v>
      </c>
    </row>
    <row r="405" spans="1:5" ht="11.25">
      <c r="A405" s="9">
        <v>510109</v>
      </c>
      <c r="B405" s="18" t="s">
        <v>184</v>
      </c>
      <c r="C405" s="18">
        <v>0</v>
      </c>
      <c r="D405" s="18">
        <f>390142+28521</f>
        <v>418663</v>
      </c>
      <c r="E405" s="18">
        <f t="shared" si="11"/>
        <v>418663</v>
      </c>
    </row>
    <row r="406" spans="1:5" ht="11.25">
      <c r="A406" s="9">
        <v>510110</v>
      </c>
      <c r="B406" s="18" t="s">
        <v>299</v>
      </c>
      <c r="C406" s="18">
        <v>0</v>
      </c>
      <c r="D406" s="18">
        <f>1443933+32897+33526</f>
        <v>1510356</v>
      </c>
      <c r="E406" s="18">
        <f t="shared" si="11"/>
        <v>1510356</v>
      </c>
    </row>
    <row r="407" spans="1:5" ht="11.25">
      <c r="A407" s="9">
        <v>510111</v>
      </c>
      <c r="B407" s="18" t="s">
        <v>300</v>
      </c>
      <c r="C407" s="18">
        <v>0</v>
      </c>
      <c r="D407" s="18">
        <v>25472</v>
      </c>
      <c r="E407" s="18">
        <f t="shared" si="11"/>
        <v>25472</v>
      </c>
    </row>
    <row r="408" spans="1:5" ht="11.25">
      <c r="A408" s="9">
        <v>510112</v>
      </c>
      <c r="B408" s="18" t="s">
        <v>301</v>
      </c>
      <c r="C408" s="18">
        <v>0</v>
      </c>
      <c r="D408" s="18">
        <f>326914+2322</f>
        <v>329236</v>
      </c>
      <c r="E408" s="18">
        <f t="shared" si="11"/>
        <v>329236</v>
      </c>
    </row>
    <row r="409" spans="1:5" ht="11.25">
      <c r="A409" s="9">
        <v>510113</v>
      </c>
      <c r="B409" s="18" t="s">
        <v>302</v>
      </c>
      <c r="C409" s="18">
        <v>0</v>
      </c>
      <c r="D409" s="18">
        <f>423554+7186+21511</f>
        <v>452251</v>
      </c>
      <c r="E409" s="18">
        <f t="shared" si="11"/>
        <v>452251</v>
      </c>
    </row>
    <row r="410" spans="1:5" ht="11.25">
      <c r="A410" s="9">
        <v>510114</v>
      </c>
      <c r="B410" s="18" t="s">
        <v>303</v>
      </c>
      <c r="C410" s="18">
        <v>0</v>
      </c>
      <c r="D410" s="18">
        <f>685285+17890+39260</f>
        <v>742435</v>
      </c>
      <c r="E410" s="18">
        <f t="shared" si="11"/>
        <v>742435</v>
      </c>
    </row>
    <row r="411" spans="1:5" ht="11.25">
      <c r="A411" s="9">
        <v>510116</v>
      </c>
      <c r="B411" s="18" t="s">
        <v>304</v>
      </c>
      <c r="C411" s="18">
        <v>0</v>
      </c>
      <c r="D411" s="18">
        <v>7285</v>
      </c>
      <c r="E411" s="18">
        <f t="shared" si="11"/>
        <v>7285</v>
      </c>
    </row>
    <row r="412" spans="1:5" ht="11.25">
      <c r="A412" s="9">
        <v>510117</v>
      </c>
      <c r="B412" s="18" t="s">
        <v>201</v>
      </c>
      <c r="C412" s="18">
        <v>0</v>
      </c>
      <c r="D412" s="18">
        <f>7256+30697</f>
        <v>37953</v>
      </c>
      <c r="E412" s="18">
        <f t="shared" si="11"/>
        <v>37953</v>
      </c>
    </row>
    <row r="413" spans="1:5" ht="11.25">
      <c r="A413" s="9">
        <v>510118</v>
      </c>
      <c r="B413" s="18" t="s">
        <v>305</v>
      </c>
      <c r="C413" s="18">
        <v>0</v>
      </c>
      <c r="D413" s="18">
        <f>906+1861</f>
        <v>2767</v>
      </c>
      <c r="E413" s="18">
        <f t="shared" si="11"/>
        <v>2767</v>
      </c>
    </row>
    <row r="414" spans="1:5" ht="11.25">
      <c r="A414" s="9">
        <v>510119</v>
      </c>
      <c r="B414" s="10" t="s">
        <v>205</v>
      </c>
      <c r="C414" s="18">
        <v>0</v>
      </c>
      <c r="D414" s="18">
        <f>224266+4965+406</f>
        <v>229637</v>
      </c>
      <c r="E414" s="18">
        <f t="shared" si="11"/>
        <v>229637</v>
      </c>
    </row>
    <row r="415" spans="1:5" ht="11.25">
      <c r="A415" s="9">
        <v>510121</v>
      </c>
      <c r="B415" s="18" t="s">
        <v>306</v>
      </c>
      <c r="C415" s="18">
        <v>0</v>
      </c>
      <c r="D415" s="18"/>
      <c r="E415" s="18">
        <f>SUM(C415:D415)</f>
        <v>0</v>
      </c>
    </row>
    <row r="416" spans="1:5" ht="11.25">
      <c r="A416" s="9">
        <v>510123</v>
      </c>
      <c r="B416" s="18" t="s">
        <v>307</v>
      </c>
      <c r="C416" s="18">
        <v>0</v>
      </c>
      <c r="D416" s="18">
        <f>8191+1445+5346</f>
        <v>14982</v>
      </c>
      <c r="E416" s="18">
        <f t="shared" si="11"/>
        <v>14982</v>
      </c>
    </row>
    <row r="417" spans="1:5" ht="11.25">
      <c r="A417" s="9">
        <v>510124</v>
      </c>
      <c r="B417" s="18" t="s">
        <v>200</v>
      </c>
      <c r="C417" s="18">
        <v>0</v>
      </c>
      <c r="D417" s="18">
        <f>787742+20861+47791</f>
        <v>856394</v>
      </c>
      <c r="E417" s="18">
        <f t="shared" si="11"/>
        <v>856394</v>
      </c>
    </row>
    <row r="418" spans="1:5" ht="11.25">
      <c r="A418" s="9">
        <v>510130</v>
      </c>
      <c r="B418" s="18" t="s">
        <v>308</v>
      </c>
      <c r="C418" s="18">
        <v>0</v>
      </c>
      <c r="D418" s="18">
        <f>236834+13637+23580</f>
        <v>274051</v>
      </c>
      <c r="E418" s="18">
        <f t="shared" si="11"/>
        <v>274051</v>
      </c>
    </row>
    <row r="419" spans="1:5" ht="11.25">
      <c r="A419" s="9">
        <v>510131</v>
      </c>
      <c r="B419" s="18" t="s">
        <v>309</v>
      </c>
      <c r="C419" s="18">
        <v>0</v>
      </c>
      <c r="D419" s="18">
        <f>5493+1892</f>
        <v>7385</v>
      </c>
      <c r="E419" s="18">
        <f t="shared" si="11"/>
        <v>7385</v>
      </c>
    </row>
    <row r="420" spans="1:5" ht="11.25">
      <c r="A420" s="9">
        <v>510133</v>
      </c>
      <c r="B420" s="18" t="s">
        <v>310</v>
      </c>
      <c r="C420" s="18">
        <v>0</v>
      </c>
      <c r="D420" s="18"/>
      <c r="E420" s="18">
        <f t="shared" si="11"/>
        <v>0</v>
      </c>
    </row>
    <row r="421" spans="1:5" ht="11.25">
      <c r="A421" s="9">
        <v>510150</v>
      </c>
      <c r="B421" s="18" t="s">
        <v>311</v>
      </c>
      <c r="C421" s="18">
        <v>0</v>
      </c>
      <c r="D421" s="18">
        <v>10101</v>
      </c>
      <c r="E421" s="18">
        <f t="shared" si="11"/>
        <v>10101</v>
      </c>
    </row>
    <row r="422" spans="1:5" ht="11.25">
      <c r="A422" s="9">
        <v>510152</v>
      </c>
      <c r="B422" s="18" t="s">
        <v>312</v>
      </c>
      <c r="C422" s="18">
        <v>0</v>
      </c>
      <c r="D422" s="18">
        <f>88590+7758+29808</f>
        <v>126156</v>
      </c>
      <c r="E422" s="18">
        <f t="shared" si="11"/>
        <v>126156</v>
      </c>
    </row>
    <row r="423" spans="1:5" ht="11.25">
      <c r="A423" s="9">
        <v>510156</v>
      </c>
      <c r="B423" s="18" t="s">
        <v>537</v>
      </c>
      <c r="C423" s="18"/>
      <c r="D423" s="18">
        <f>9545+20008</f>
        <v>29553</v>
      </c>
      <c r="E423" s="18">
        <f t="shared" si="11"/>
        <v>29553</v>
      </c>
    </row>
    <row r="424" spans="1:5" ht="11.25">
      <c r="A424" s="9">
        <v>510160</v>
      </c>
      <c r="B424" s="18" t="s">
        <v>313</v>
      </c>
      <c r="C424" s="18">
        <v>0</v>
      </c>
      <c r="D424" s="18">
        <f>10955+1355+4286</f>
        <v>16596</v>
      </c>
      <c r="E424" s="18">
        <f t="shared" si="11"/>
        <v>16596</v>
      </c>
    </row>
    <row r="425" spans="1:5" ht="11.25">
      <c r="A425" s="9">
        <v>510190</v>
      </c>
      <c r="B425" s="18" t="s">
        <v>314</v>
      </c>
      <c r="C425" s="18">
        <v>0</v>
      </c>
      <c r="D425" s="18"/>
      <c r="E425" s="18">
        <f t="shared" si="11"/>
        <v>0</v>
      </c>
    </row>
    <row r="426" spans="1:5" ht="11.25">
      <c r="A426" s="9">
        <v>510200</v>
      </c>
      <c r="B426" s="2" t="s">
        <v>315</v>
      </c>
      <c r="C426" s="2">
        <f>+C427+C428</f>
        <v>0</v>
      </c>
      <c r="D426" s="2">
        <f>+D427+D428</f>
        <v>25430</v>
      </c>
      <c r="E426" s="2">
        <f aca="true" t="shared" si="12" ref="E426:E473">+C426+D426</f>
        <v>25430</v>
      </c>
    </row>
    <row r="427" spans="1:5" ht="11.25">
      <c r="A427" s="9">
        <v>510203</v>
      </c>
      <c r="B427" s="18" t="s">
        <v>316</v>
      </c>
      <c r="C427" s="18">
        <v>0</v>
      </c>
      <c r="D427" s="18">
        <v>25430</v>
      </c>
      <c r="E427" s="18">
        <f t="shared" si="12"/>
        <v>25430</v>
      </c>
    </row>
    <row r="428" spans="1:5" ht="11.25">
      <c r="A428" s="9">
        <v>510207</v>
      </c>
      <c r="B428" s="18" t="s">
        <v>317</v>
      </c>
      <c r="C428" s="18">
        <v>0</v>
      </c>
      <c r="D428" s="18"/>
      <c r="E428" s="18">
        <f t="shared" si="12"/>
        <v>0</v>
      </c>
    </row>
    <row r="429" spans="1:5" ht="11.25">
      <c r="A429" s="9">
        <v>510300</v>
      </c>
      <c r="B429" s="2" t="s">
        <v>318</v>
      </c>
      <c r="C429" s="2">
        <f>SUM(C430:C435)</f>
        <v>0</v>
      </c>
      <c r="D429" s="2">
        <f>SUM(D430:D434)</f>
        <v>2095828</v>
      </c>
      <c r="E429" s="2">
        <f t="shared" si="12"/>
        <v>2095828</v>
      </c>
    </row>
    <row r="430" spans="1:5" ht="11.25">
      <c r="A430" s="9">
        <v>510302</v>
      </c>
      <c r="B430" s="18" t="s">
        <v>319</v>
      </c>
      <c r="C430" s="18">
        <v>0</v>
      </c>
      <c r="D430" s="18">
        <f>315145+9310+40140</f>
        <v>364595</v>
      </c>
      <c r="E430" s="18">
        <f t="shared" si="12"/>
        <v>364595</v>
      </c>
    </row>
    <row r="431" spans="1:5" ht="11.25">
      <c r="A431" s="9">
        <v>510303</v>
      </c>
      <c r="B431" s="18" t="s">
        <v>320</v>
      </c>
      <c r="C431" s="18">
        <v>0</v>
      </c>
      <c r="D431" s="18">
        <f>610179+17370+170949</f>
        <v>798498</v>
      </c>
      <c r="E431" s="18">
        <f t="shared" si="12"/>
        <v>798498</v>
      </c>
    </row>
    <row r="432" spans="1:5" ht="11.25">
      <c r="A432" s="9">
        <v>510305</v>
      </c>
      <c r="B432" s="18" t="s">
        <v>321</v>
      </c>
      <c r="C432" s="18">
        <v>0</v>
      </c>
      <c r="D432" s="18">
        <f>35386+1078+4897</f>
        <v>41361</v>
      </c>
      <c r="E432" s="18">
        <f t="shared" si="12"/>
        <v>41361</v>
      </c>
    </row>
    <row r="433" spans="1:5" ht="11.25">
      <c r="A433" s="9">
        <v>510306</v>
      </c>
      <c r="B433" s="18" t="s">
        <v>322</v>
      </c>
      <c r="C433" s="18">
        <v>0</v>
      </c>
      <c r="D433" s="18">
        <f>519531+6696</f>
        <v>526227</v>
      </c>
      <c r="E433" s="18">
        <f t="shared" si="12"/>
        <v>526227</v>
      </c>
    </row>
    <row r="434" spans="1:5" ht="11.25">
      <c r="A434" s="9">
        <v>510307</v>
      </c>
      <c r="B434" s="18" t="s">
        <v>323</v>
      </c>
      <c r="C434" s="18">
        <v>0</v>
      </c>
      <c r="D434" s="18">
        <f>340190+17124+7833</f>
        <v>365147</v>
      </c>
      <c r="E434" s="18">
        <f t="shared" si="12"/>
        <v>365147</v>
      </c>
    </row>
    <row r="435" spans="1:5" ht="11.25">
      <c r="A435" s="9">
        <v>510390</v>
      </c>
      <c r="B435" s="18" t="s">
        <v>324</v>
      </c>
      <c r="C435" s="18">
        <v>0</v>
      </c>
      <c r="D435" s="18"/>
      <c r="E435" s="18">
        <f t="shared" si="12"/>
        <v>0</v>
      </c>
    </row>
    <row r="436" spans="1:5" ht="11.25">
      <c r="A436" s="9">
        <v>510400</v>
      </c>
      <c r="B436" s="2" t="s">
        <v>325</v>
      </c>
      <c r="C436" s="2">
        <f>SUM(C437:C440)</f>
        <v>0</v>
      </c>
      <c r="D436" s="2">
        <f>SUM(D437:D440)</f>
        <v>479786</v>
      </c>
      <c r="E436" s="2">
        <f t="shared" si="12"/>
        <v>479786</v>
      </c>
    </row>
    <row r="437" spans="1:5" ht="11.25">
      <c r="A437" s="9">
        <v>510401</v>
      </c>
      <c r="B437" s="18" t="s">
        <v>326</v>
      </c>
      <c r="C437" s="18">
        <v>0</v>
      </c>
      <c r="D437" s="18">
        <f>262530+6983+30594</f>
        <v>300107</v>
      </c>
      <c r="E437" s="18">
        <f t="shared" si="12"/>
        <v>300107</v>
      </c>
    </row>
    <row r="438" spans="1:5" ht="11.25">
      <c r="A438" s="9">
        <v>510402</v>
      </c>
      <c r="B438" s="18" t="s">
        <v>327</v>
      </c>
      <c r="C438" s="18">
        <v>0</v>
      </c>
      <c r="D438" s="18">
        <f>43756+1164</f>
        <v>44920</v>
      </c>
      <c r="E438" s="18">
        <f t="shared" si="12"/>
        <v>44920</v>
      </c>
    </row>
    <row r="439" spans="1:5" ht="11.25">
      <c r="A439" s="9">
        <v>510403</v>
      </c>
      <c r="B439" s="18" t="s">
        <v>328</v>
      </c>
      <c r="C439" s="18">
        <v>0</v>
      </c>
      <c r="D439" s="18">
        <f>43756+1164</f>
        <v>44920</v>
      </c>
      <c r="E439" s="18">
        <f t="shared" si="12"/>
        <v>44920</v>
      </c>
    </row>
    <row r="440" spans="1:5" ht="11.25">
      <c r="A440" s="9">
        <v>510404</v>
      </c>
      <c r="B440" s="18" t="s">
        <v>329</v>
      </c>
      <c r="C440" s="18">
        <v>0</v>
      </c>
      <c r="D440" s="18">
        <f>87512+2327</f>
        <v>89839</v>
      </c>
      <c r="E440" s="18">
        <f t="shared" si="12"/>
        <v>89839</v>
      </c>
    </row>
    <row r="441" spans="1:5" ht="11.25">
      <c r="A441" s="9">
        <v>511100</v>
      </c>
      <c r="B441" s="2" t="s">
        <v>330</v>
      </c>
      <c r="C441" s="2">
        <f>SUM(C442:C474)</f>
        <v>0</v>
      </c>
      <c r="D441" s="2">
        <f>SUM(D442:D473)</f>
        <v>8195230</v>
      </c>
      <c r="E441" s="2">
        <f t="shared" si="12"/>
        <v>8195230</v>
      </c>
    </row>
    <row r="442" spans="1:5" ht="11.25">
      <c r="A442" s="9">
        <v>511103</v>
      </c>
      <c r="B442" s="18" t="s">
        <v>331</v>
      </c>
      <c r="C442" s="18">
        <v>0</v>
      </c>
      <c r="D442" s="18"/>
      <c r="E442" s="18">
        <f t="shared" si="12"/>
        <v>0</v>
      </c>
    </row>
    <row r="443" spans="1:5" ht="11.25">
      <c r="A443" s="9">
        <v>511104</v>
      </c>
      <c r="B443" s="18" t="s">
        <v>332</v>
      </c>
      <c r="C443" s="18">
        <v>0</v>
      </c>
      <c r="D443" s="18"/>
      <c r="E443" s="18">
        <f t="shared" si="12"/>
        <v>0</v>
      </c>
    </row>
    <row r="444" spans="1:5" ht="11.25">
      <c r="A444" s="9">
        <v>511106</v>
      </c>
      <c r="B444" s="18" t="s">
        <v>115</v>
      </c>
      <c r="C444" s="18"/>
      <c r="D444" s="18">
        <v>88137</v>
      </c>
      <c r="E444" s="18">
        <f t="shared" si="12"/>
        <v>88137</v>
      </c>
    </row>
    <row r="445" spans="1:5" ht="11.25">
      <c r="A445" s="9">
        <v>511109</v>
      </c>
      <c r="B445" s="18" t="s">
        <v>116</v>
      </c>
      <c r="C445" s="18"/>
      <c r="D445" s="18">
        <v>273038</v>
      </c>
      <c r="E445" s="18">
        <f t="shared" si="12"/>
        <v>273038</v>
      </c>
    </row>
    <row r="446" spans="1:5" ht="11.25">
      <c r="A446" s="9">
        <v>511111</v>
      </c>
      <c r="B446" s="18" t="s">
        <v>333</v>
      </c>
      <c r="C446" s="18">
        <v>0</v>
      </c>
      <c r="D446" s="18">
        <f>1367471+1442509</f>
        <v>2809980</v>
      </c>
      <c r="E446" s="18">
        <f t="shared" si="12"/>
        <v>2809980</v>
      </c>
    </row>
    <row r="447" spans="1:5" ht="11.25">
      <c r="A447" s="9">
        <v>511113</v>
      </c>
      <c r="B447" s="18" t="s">
        <v>334</v>
      </c>
      <c r="C447" s="18">
        <v>0</v>
      </c>
      <c r="D447" s="18">
        <f>262719+36647+48980</f>
        <v>348346</v>
      </c>
      <c r="E447" s="18">
        <f t="shared" si="12"/>
        <v>348346</v>
      </c>
    </row>
    <row r="448" spans="1:5" ht="11.25">
      <c r="A448" s="9">
        <v>511114</v>
      </c>
      <c r="B448" s="18" t="s">
        <v>335</v>
      </c>
      <c r="C448" s="18">
        <v>0</v>
      </c>
      <c r="D448" s="18">
        <f>62903+56031+443954</f>
        <v>562888</v>
      </c>
      <c r="E448" s="18">
        <f t="shared" si="12"/>
        <v>562888</v>
      </c>
    </row>
    <row r="449" spans="1:5" ht="11.25">
      <c r="A449" s="9">
        <v>511115</v>
      </c>
      <c r="B449" s="18" t="s">
        <v>109</v>
      </c>
      <c r="C449" s="18">
        <v>0</v>
      </c>
      <c r="D449" s="18">
        <f>426770+35540+407583</f>
        <v>869893</v>
      </c>
      <c r="E449" s="18">
        <f t="shared" si="12"/>
        <v>869893</v>
      </c>
    </row>
    <row r="450" spans="1:5" ht="11.25">
      <c r="A450" s="9">
        <v>511116</v>
      </c>
      <c r="B450" s="18" t="s">
        <v>336</v>
      </c>
      <c r="C450" s="18">
        <v>0</v>
      </c>
      <c r="D450" s="18">
        <v>60997</v>
      </c>
      <c r="E450" s="18">
        <f t="shared" si="12"/>
        <v>60997</v>
      </c>
    </row>
    <row r="451" spans="1:5" ht="11.25">
      <c r="A451" s="9">
        <v>511117</v>
      </c>
      <c r="B451" s="18" t="s">
        <v>163</v>
      </c>
      <c r="C451" s="18">
        <v>0</v>
      </c>
      <c r="D451" s="18">
        <f>601080+52678+128602</f>
        <v>782360</v>
      </c>
      <c r="E451" s="18">
        <f t="shared" si="12"/>
        <v>782360</v>
      </c>
    </row>
    <row r="452" spans="1:5" ht="11.25">
      <c r="A452" s="9">
        <v>511118</v>
      </c>
      <c r="B452" s="18" t="s">
        <v>107</v>
      </c>
      <c r="C452" s="18">
        <v>0</v>
      </c>
      <c r="D452" s="18">
        <f>34306+39235</f>
        <v>73541</v>
      </c>
      <c r="E452" s="18">
        <f t="shared" si="12"/>
        <v>73541</v>
      </c>
    </row>
    <row r="453" spans="1:5" ht="11.25">
      <c r="A453" s="9">
        <v>511119</v>
      </c>
      <c r="B453" s="18" t="s">
        <v>337</v>
      </c>
      <c r="C453" s="18">
        <v>0</v>
      </c>
      <c r="D453" s="18">
        <f>625753+52570+82146</f>
        <v>760469</v>
      </c>
      <c r="E453" s="18">
        <f t="shared" si="12"/>
        <v>760469</v>
      </c>
    </row>
    <row r="454" spans="1:5" ht="11.25">
      <c r="A454" s="9">
        <v>511120</v>
      </c>
      <c r="B454" s="18" t="s">
        <v>338</v>
      </c>
      <c r="C454" s="18">
        <v>0</v>
      </c>
      <c r="D454" s="18">
        <f>27020+400</f>
        <v>27420</v>
      </c>
      <c r="E454" s="18">
        <f t="shared" si="12"/>
        <v>27420</v>
      </c>
    </row>
    <row r="455" spans="1:5" ht="11.25">
      <c r="A455" s="9">
        <v>511121</v>
      </c>
      <c r="B455" s="18" t="s">
        <v>339</v>
      </c>
      <c r="C455" s="18">
        <v>0</v>
      </c>
      <c r="D455" s="18">
        <f>66236+20926+11936</f>
        <v>99098</v>
      </c>
      <c r="E455" s="18">
        <f t="shared" si="12"/>
        <v>99098</v>
      </c>
    </row>
    <row r="456" spans="1:5" ht="11.25">
      <c r="A456" s="9">
        <v>511122</v>
      </c>
      <c r="B456" s="18" t="s">
        <v>606</v>
      </c>
      <c r="C456" s="18"/>
      <c r="D456" s="18">
        <v>15888</v>
      </c>
      <c r="E456" s="18">
        <f t="shared" si="12"/>
        <v>15888</v>
      </c>
    </row>
    <row r="457" spans="1:5" ht="11.25">
      <c r="A457" s="9">
        <v>511123</v>
      </c>
      <c r="B457" s="18" t="s">
        <v>340</v>
      </c>
      <c r="C457" s="18">
        <v>0</v>
      </c>
      <c r="D457" s="18">
        <f>125964+64647+47936</f>
        <v>238547</v>
      </c>
      <c r="E457" s="18">
        <f t="shared" si="12"/>
        <v>238547</v>
      </c>
    </row>
    <row r="458" spans="1:5" ht="11.25">
      <c r="A458" s="9">
        <v>511125</v>
      </c>
      <c r="B458" s="18" t="s">
        <v>341</v>
      </c>
      <c r="C458" s="18">
        <v>0</v>
      </c>
      <c r="D458" s="18">
        <f>239764+6012+62783</f>
        <v>308559</v>
      </c>
      <c r="E458" s="18">
        <f t="shared" si="12"/>
        <v>308559</v>
      </c>
    </row>
    <row r="459" spans="1:5" ht="11.25">
      <c r="A459" s="9">
        <v>511126</v>
      </c>
      <c r="B459" s="18" t="s">
        <v>572</v>
      </c>
      <c r="C459" s="18">
        <v>0</v>
      </c>
      <c r="D459" s="18">
        <v>5</v>
      </c>
      <c r="E459" s="18">
        <f t="shared" si="12"/>
        <v>5</v>
      </c>
    </row>
    <row r="460" spans="1:5" ht="11.25">
      <c r="A460" s="9">
        <v>511127</v>
      </c>
      <c r="B460" s="18" t="s">
        <v>607</v>
      </c>
      <c r="C460" s="18">
        <v>0</v>
      </c>
      <c r="D460" s="18">
        <v>31660</v>
      </c>
      <c r="E460" s="18">
        <f t="shared" si="12"/>
        <v>31660</v>
      </c>
    </row>
    <row r="461" spans="1:5" ht="11.25">
      <c r="A461" s="9">
        <v>511128</v>
      </c>
      <c r="B461" s="18" t="s">
        <v>564</v>
      </c>
      <c r="C461" s="18">
        <v>0</v>
      </c>
      <c r="D461" s="18">
        <f>154866+1240</f>
        <v>156106</v>
      </c>
      <c r="E461" s="18">
        <f t="shared" si="12"/>
        <v>156106</v>
      </c>
    </row>
    <row r="462" spans="1:5" ht="11.25">
      <c r="A462" s="9">
        <v>511131</v>
      </c>
      <c r="B462" s="18" t="s">
        <v>565</v>
      </c>
      <c r="C462" s="18"/>
      <c r="D462" s="18">
        <v>91589</v>
      </c>
      <c r="E462" s="18">
        <f t="shared" si="12"/>
        <v>91589</v>
      </c>
    </row>
    <row r="463" spans="1:5" ht="11.25">
      <c r="A463" s="9">
        <v>511132</v>
      </c>
      <c r="B463" s="18" t="s">
        <v>342</v>
      </c>
      <c r="C463" s="18">
        <v>0</v>
      </c>
      <c r="D463" s="18">
        <v>3420</v>
      </c>
      <c r="E463" s="18">
        <f t="shared" si="12"/>
        <v>3420</v>
      </c>
    </row>
    <row r="464" spans="1:5" ht="11.25">
      <c r="A464" s="9">
        <v>511133</v>
      </c>
      <c r="B464" s="18" t="s">
        <v>343</v>
      </c>
      <c r="C464" s="18">
        <v>0</v>
      </c>
      <c r="D464" s="18"/>
      <c r="E464" s="18">
        <f t="shared" si="12"/>
        <v>0</v>
      </c>
    </row>
    <row r="465" spans="1:5" ht="11.25">
      <c r="A465" s="9">
        <v>511136</v>
      </c>
      <c r="B465" s="18" t="s">
        <v>608</v>
      </c>
      <c r="C465" s="18"/>
      <c r="D465" s="18">
        <v>73505</v>
      </c>
      <c r="E465" s="18">
        <f t="shared" si="12"/>
        <v>73505</v>
      </c>
    </row>
    <row r="466" spans="1:5" ht="11.25">
      <c r="A466" s="9">
        <v>511137</v>
      </c>
      <c r="B466" s="18" t="s">
        <v>555</v>
      </c>
      <c r="C466" s="18"/>
      <c r="D466" s="18">
        <v>70532</v>
      </c>
      <c r="E466" s="18">
        <f t="shared" si="12"/>
        <v>70532</v>
      </c>
    </row>
    <row r="467" spans="1:5" ht="11.25">
      <c r="A467" s="9">
        <v>511146</v>
      </c>
      <c r="B467" s="18" t="s">
        <v>344</v>
      </c>
      <c r="C467" s="18">
        <v>0</v>
      </c>
      <c r="D467" s="18">
        <f>62817+17749</f>
        <v>80566</v>
      </c>
      <c r="E467" s="18">
        <f t="shared" si="12"/>
        <v>80566</v>
      </c>
    </row>
    <row r="468" spans="1:5" ht="11.25">
      <c r="A468" s="9">
        <v>511149</v>
      </c>
      <c r="B468" s="18" t="s">
        <v>345</v>
      </c>
      <c r="C468" s="18">
        <v>0</v>
      </c>
      <c r="D468" s="18">
        <f>187109+5640+17828</f>
        <v>210577</v>
      </c>
      <c r="E468" s="18">
        <f t="shared" si="12"/>
        <v>210577</v>
      </c>
    </row>
    <row r="469" spans="1:5" ht="11.25">
      <c r="A469" s="9">
        <v>511150</v>
      </c>
      <c r="B469" s="18" t="s">
        <v>346</v>
      </c>
      <c r="C469" s="18">
        <v>0</v>
      </c>
      <c r="D469" s="18">
        <v>3863</v>
      </c>
      <c r="E469" s="18">
        <f t="shared" si="12"/>
        <v>3863</v>
      </c>
    </row>
    <row r="470" spans="1:5" ht="11.25">
      <c r="A470" s="9">
        <v>511152</v>
      </c>
      <c r="B470" s="18" t="s">
        <v>609</v>
      </c>
      <c r="C470" s="18">
        <v>0</v>
      </c>
      <c r="D470" s="18">
        <v>1177</v>
      </c>
      <c r="E470" s="18">
        <f t="shared" si="12"/>
        <v>1177</v>
      </c>
    </row>
    <row r="471" spans="1:5" ht="11.25">
      <c r="A471" s="9">
        <v>511154</v>
      </c>
      <c r="B471" s="18" t="s">
        <v>347</v>
      </c>
      <c r="C471" s="18">
        <v>0</v>
      </c>
      <c r="D471" s="18">
        <f>97996+42789</f>
        <v>140785</v>
      </c>
      <c r="E471" s="18">
        <f t="shared" si="12"/>
        <v>140785</v>
      </c>
    </row>
    <row r="472" spans="1:5" ht="11.25">
      <c r="A472" s="9">
        <v>511155</v>
      </c>
      <c r="B472" s="18" t="s">
        <v>348</v>
      </c>
      <c r="C472" s="18">
        <v>0</v>
      </c>
      <c r="D472" s="18">
        <f>1874+3726</f>
        <v>5600</v>
      </c>
      <c r="E472" s="18">
        <f t="shared" si="12"/>
        <v>5600</v>
      </c>
    </row>
    <row r="473" spans="1:5" ht="11.25">
      <c r="A473" s="9">
        <v>511190</v>
      </c>
      <c r="B473" s="18" t="s">
        <v>349</v>
      </c>
      <c r="C473" s="18">
        <v>0</v>
      </c>
      <c r="D473" s="18">
        <v>6684</v>
      </c>
      <c r="E473" s="18">
        <f t="shared" si="12"/>
        <v>6684</v>
      </c>
    </row>
    <row r="474" spans="1:5" ht="11.25">
      <c r="A474" s="9">
        <v>512000</v>
      </c>
      <c r="B474" s="2" t="s">
        <v>350</v>
      </c>
      <c r="C474" s="2">
        <f>SUM(C475:C483)</f>
        <v>0</v>
      </c>
      <c r="D474" s="2">
        <f>SUM(D475:D483)</f>
        <v>53263701</v>
      </c>
      <c r="E474" s="2">
        <f aca="true" t="shared" si="13" ref="E474:E506">+C474+D474</f>
        <v>53263701</v>
      </c>
    </row>
    <row r="475" spans="1:5" ht="11.25">
      <c r="A475" s="9">
        <v>512001</v>
      </c>
      <c r="B475" s="18" t="s">
        <v>192</v>
      </c>
      <c r="C475" s="18">
        <v>0</v>
      </c>
      <c r="D475" s="18">
        <f>21915+4745</f>
        <v>26660</v>
      </c>
      <c r="E475" s="18">
        <f t="shared" si="13"/>
        <v>26660</v>
      </c>
    </row>
    <row r="476" spans="1:5" ht="11.25">
      <c r="A476" s="9">
        <v>512002</v>
      </c>
      <c r="B476" s="18" t="s">
        <v>351</v>
      </c>
      <c r="C476" s="18">
        <v>0</v>
      </c>
      <c r="D476" s="18">
        <f>53207203+6623</f>
        <v>53213826</v>
      </c>
      <c r="E476" s="18">
        <f t="shared" si="13"/>
        <v>53213826</v>
      </c>
    </row>
    <row r="477" spans="1:5" ht="11.25">
      <c r="A477" s="9">
        <v>512003</v>
      </c>
      <c r="B477" s="18" t="s">
        <v>352</v>
      </c>
      <c r="C477" s="18">
        <v>0</v>
      </c>
      <c r="D477" s="18">
        <v>16267</v>
      </c>
      <c r="E477" s="18">
        <f>SUM(C477:D477)</f>
        <v>16267</v>
      </c>
    </row>
    <row r="478" spans="1:5" ht="11.25">
      <c r="A478" s="9">
        <v>512006</v>
      </c>
      <c r="B478" s="18" t="s">
        <v>193</v>
      </c>
      <c r="C478" s="18">
        <v>0</v>
      </c>
      <c r="D478" s="18"/>
      <c r="E478" s="18">
        <f t="shared" si="13"/>
        <v>0</v>
      </c>
    </row>
    <row r="479" spans="1:5" ht="11.25">
      <c r="A479" s="9">
        <v>512007</v>
      </c>
      <c r="B479" s="18" t="s">
        <v>243</v>
      </c>
      <c r="C479" s="18">
        <v>0</v>
      </c>
      <c r="D479" s="18">
        <v>1544</v>
      </c>
      <c r="E479" s="18">
        <f t="shared" si="13"/>
        <v>1544</v>
      </c>
    </row>
    <row r="480" spans="1:5" ht="11.25">
      <c r="A480" s="9">
        <v>512009</v>
      </c>
      <c r="B480" s="18" t="s">
        <v>353</v>
      </c>
      <c r="C480" s="18">
        <v>0</v>
      </c>
      <c r="D480" s="18">
        <v>1546</v>
      </c>
      <c r="E480" s="18">
        <f>+C480+D480</f>
        <v>1546</v>
      </c>
    </row>
    <row r="481" spans="1:5" ht="11.25">
      <c r="A481" s="9">
        <v>512010</v>
      </c>
      <c r="B481" s="18" t="s">
        <v>242</v>
      </c>
      <c r="C481" s="18">
        <v>0</v>
      </c>
      <c r="D481" s="18">
        <v>1783</v>
      </c>
      <c r="E481" s="18">
        <f>+C481+D481</f>
        <v>1783</v>
      </c>
    </row>
    <row r="482" spans="1:5" ht="11.25">
      <c r="A482" s="9">
        <v>512011</v>
      </c>
      <c r="B482" s="18" t="s">
        <v>194</v>
      </c>
      <c r="C482" s="18">
        <v>0</v>
      </c>
      <c r="D482" s="18">
        <f>356+335+1089</f>
        <v>1780</v>
      </c>
      <c r="E482" s="18">
        <f t="shared" si="13"/>
        <v>1780</v>
      </c>
    </row>
    <row r="483" spans="1:5" ht="11.25">
      <c r="A483" s="9">
        <v>512090</v>
      </c>
      <c r="B483" s="18" t="s">
        <v>354</v>
      </c>
      <c r="C483" s="18">
        <v>0</v>
      </c>
      <c r="D483" s="18">
        <v>295</v>
      </c>
      <c r="E483" s="18">
        <f t="shared" si="13"/>
        <v>295</v>
      </c>
    </row>
    <row r="484" spans="1:5" ht="11.25">
      <c r="A484" s="9">
        <v>530000</v>
      </c>
      <c r="B484" s="2" t="s">
        <v>355</v>
      </c>
      <c r="C484" s="2">
        <f>+C485+C489+C493</f>
        <v>0</v>
      </c>
      <c r="D484" s="2">
        <f>+D485+D489+D491+D493+D495+D503+D505</f>
        <v>1492544</v>
      </c>
      <c r="E484" s="2">
        <f t="shared" si="13"/>
        <v>1492544</v>
      </c>
    </row>
    <row r="485" spans="1:5" ht="11.25">
      <c r="A485" s="9">
        <v>530400</v>
      </c>
      <c r="B485" s="2" t="s">
        <v>356</v>
      </c>
      <c r="C485" s="2">
        <f>SUM(C486:C488)</f>
        <v>0</v>
      </c>
      <c r="D485" s="2">
        <f>SUM(D486:D488)</f>
        <v>52621</v>
      </c>
      <c r="E485" s="2">
        <f>SUM(C485:D485)</f>
        <v>52621</v>
      </c>
    </row>
    <row r="486" spans="1:5" ht="11.25">
      <c r="A486" s="9">
        <v>530403</v>
      </c>
      <c r="B486" s="18" t="s">
        <v>54</v>
      </c>
      <c r="C486" s="18">
        <v>0</v>
      </c>
      <c r="D486" s="18"/>
      <c r="E486" s="18">
        <f t="shared" si="13"/>
        <v>0</v>
      </c>
    </row>
    <row r="487" spans="1:5" ht="11.25">
      <c r="A487" s="9">
        <v>530410</v>
      </c>
      <c r="B487" s="18" t="s">
        <v>588</v>
      </c>
      <c r="C487" s="18"/>
      <c r="D487" s="18">
        <v>52621</v>
      </c>
      <c r="E487" s="18">
        <f>SUM(C487:D487)</f>
        <v>52621</v>
      </c>
    </row>
    <row r="488" spans="1:5" ht="11.25">
      <c r="A488" s="9">
        <v>530490</v>
      </c>
      <c r="B488" s="18" t="s">
        <v>55</v>
      </c>
      <c r="C488" s="18">
        <v>0</v>
      </c>
      <c r="D488" s="18"/>
      <c r="E488" s="18">
        <f t="shared" si="13"/>
        <v>0</v>
      </c>
    </row>
    <row r="489" spans="1:5" ht="11.25">
      <c r="A489" s="9">
        <v>530900</v>
      </c>
      <c r="B489" s="2" t="s">
        <v>357</v>
      </c>
      <c r="C489" s="2">
        <f>+C490</f>
        <v>0</v>
      </c>
      <c r="D489" s="2">
        <f>+D490</f>
        <v>0</v>
      </c>
      <c r="E489" s="2">
        <f t="shared" si="13"/>
        <v>0</v>
      </c>
    </row>
    <row r="490" spans="1:5" ht="11.25">
      <c r="A490" s="9">
        <v>530902</v>
      </c>
      <c r="B490" s="18" t="s">
        <v>127</v>
      </c>
      <c r="C490" s="18">
        <v>0</v>
      </c>
      <c r="D490" s="18">
        <v>0</v>
      </c>
      <c r="E490" s="18">
        <f t="shared" si="13"/>
        <v>0</v>
      </c>
    </row>
    <row r="491" spans="1:5" ht="11.25">
      <c r="A491" s="9">
        <v>531200</v>
      </c>
      <c r="B491" s="2" t="s">
        <v>144</v>
      </c>
      <c r="C491" s="18"/>
      <c r="D491" s="2">
        <f>+D492</f>
        <v>0</v>
      </c>
      <c r="E491" s="2">
        <f>SUM(C491:D491)</f>
        <v>0</v>
      </c>
    </row>
    <row r="492" spans="1:5" ht="11.25">
      <c r="A492" s="9">
        <v>531201</v>
      </c>
      <c r="B492" s="18" t="s">
        <v>143</v>
      </c>
      <c r="C492" s="18"/>
      <c r="D492" s="18">
        <v>0</v>
      </c>
      <c r="E492" s="18">
        <f>SUM(C492:D492)</f>
        <v>0</v>
      </c>
    </row>
    <row r="493" spans="1:5" ht="11.25">
      <c r="A493" s="9">
        <v>531400</v>
      </c>
      <c r="B493" s="2" t="s">
        <v>207</v>
      </c>
      <c r="C493" s="2">
        <f>+C494</f>
        <v>0</v>
      </c>
      <c r="D493" s="2">
        <f>+D494</f>
        <v>1135974</v>
      </c>
      <c r="E493" s="2">
        <f t="shared" si="13"/>
        <v>1135974</v>
      </c>
    </row>
    <row r="494" spans="1:5" ht="11.25">
      <c r="A494" s="9">
        <v>531401</v>
      </c>
      <c r="B494" s="18" t="s">
        <v>358</v>
      </c>
      <c r="C494" s="18">
        <v>0</v>
      </c>
      <c r="D494" s="18">
        <f>1113946+22028</f>
        <v>1135974</v>
      </c>
      <c r="E494" s="18">
        <f t="shared" si="13"/>
        <v>1135974</v>
      </c>
    </row>
    <row r="495" spans="1:5" ht="11.25">
      <c r="A495" s="9">
        <v>533000</v>
      </c>
      <c r="B495" s="2" t="s">
        <v>359</v>
      </c>
      <c r="C495" s="2">
        <f>SUM(C497:C502)</f>
        <v>0</v>
      </c>
      <c r="D495" s="2">
        <f>SUM(D496:D502)</f>
        <v>275124</v>
      </c>
      <c r="E495" s="2">
        <f t="shared" si="13"/>
        <v>275124</v>
      </c>
    </row>
    <row r="496" spans="1:5" ht="11.25">
      <c r="A496" s="9">
        <v>533001</v>
      </c>
      <c r="B496" s="18" t="s">
        <v>101</v>
      </c>
      <c r="C496" s="18"/>
      <c r="D496" s="18">
        <v>104865</v>
      </c>
      <c r="E496" s="18">
        <f>+C496+D496</f>
        <v>104865</v>
      </c>
    </row>
    <row r="497" spans="1:5" ht="11.25">
      <c r="A497" s="9">
        <v>533004</v>
      </c>
      <c r="B497" s="18" t="s">
        <v>68</v>
      </c>
      <c r="C497" s="18">
        <v>0</v>
      </c>
      <c r="D497" s="18">
        <f>70+1470+4680</f>
        <v>6220</v>
      </c>
      <c r="E497" s="18">
        <f>+C497+D497</f>
        <v>6220</v>
      </c>
    </row>
    <row r="498" spans="1:5" ht="11.25">
      <c r="A498" s="9">
        <v>533005</v>
      </c>
      <c r="B498" s="18" t="s">
        <v>360</v>
      </c>
      <c r="C498" s="18">
        <v>0</v>
      </c>
      <c r="D498" s="18">
        <v>5880</v>
      </c>
      <c r="E498" s="18">
        <f t="shared" si="13"/>
        <v>5880</v>
      </c>
    </row>
    <row r="499" spans="1:5" ht="11.25">
      <c r="A499" s="9">
        <v>533006</v>
      </c>
      <c r="B499" s="18" t="s">
        <v>361</v>
      </c>
      <c r="C499" s="18">
        <v>0</v>
      </c>
      <c r="D499" s="18">
        <f>5148+75628+7440</f>
        <v>88216</v>
      </c>
      <c r="E499" s="18">
        <f t="shared" si="13"/>
        <v>88216</v>
      </c>
    </row>
    <row r="500" spans="1:5" ht="11.25">
      <c r="A500" s="9">
        <v>533007</v>
      </c>
      <c r="B500" s="18" t="s">
        <v>362</v>
      </c>
      <c r="C500" s="18">
        <v>0</v>
      </c>
      <c r="D500" s="18">
        <f>9406+8835+34080</f>
        <v>52321</v>
      </c>
      <c r="E500" s="18">
        <f t="shared" si="13"/>
        <v>52321</v>
      </c>
    </row>
    <row r="501" spans="1:5" ht="11.25">
      <c r="A501" s="9">
        <v>533008</v>
      </c>
      <c r="B501" s="18" t="s">
        <v>363</v>
      </c>
      <c r="C501" s="18">
        <v>0</v>
      </c>
      <c r="D501" s="18">
        <f>1526+2615+9240</f>
        <v>13381</v>
      </c>
      <c r="E501" s="18">
        <f t="shared" si="13"/>
        <v>13381</v>
      </c>
    </row>
    <row r="502" spans="1:5" ht="11.25">
      <c r="A502" s="9">
        <v>533009</v>
      </c>
      <c r="B502" s="18" t="s">
        <v>364</v>
      </c>
      <c r="C502" s="18">
        <v>0</v>
      </c>
      <c r="D502" s="18">
        <f>7+4234</f>
        <v>4241</v>
      </c>
      <c r="E502" s="18">
        <f t="shared" si="13"/>
        <v>4241</v>
      </c>
    </row>
    <row r="503" spans="1:5" ht="11.25">
      <c r="A503" s="9">
        <v>534400</v>
      </c>
      <c r="B503" s="2" t="s">
        <v>365</v>
      </c>
      <c r="C503" s="18"/>
      <c r="D503" s="2">
        <f>+D504</f>
        <v>0</v>
      </c>
      <c r="E503" s="18">
        <f t="shared" si="13"/>
        <v>0</v>
      </c>
    </row>
    <row r="504" spans="1:5" ht="11.25">
      <c r="A504" s="9">
        <v>534405</v>
      </c>
      <c r="B504" s="18" t="s">
        <v>123</v>
      </c>
      <c r="C504" s="18"/>
      <c r="D504" s="18"/>
      <c r="E504" s="18">
        <f t="shared" si="13"/>
        <v>0</v>
      </c>
    </row>
    <row r="505" spans="1:5" ht="11.25">
      <c r="A505" s="9">
        <v>534500</v>
      </c>
      <c r="B505" s="2" t="s">
        <v>366</v>
      </c>
      <c r="C505" s="2">
        <f>SUM(C506:C507)</f>
        <v>0</v>
      </c>
      <c r="D505" s="2">
        <f>+D506+D507</f>
        <v>28825</v>
      </c>
      <c r="E505" s="2">
        <f t="shared" si="13"/>
        <v>28825</v>
      </c>
    </row>
    <row r="506" spans="1:5" ht="11.25">
      <c r="A506" s="9">
        <v>534507</v>
      </c>
      <c r="B506" s="18" t="s">
        <v>137</v>
      </c>
      <c r="C506" s="18">
        <v>0</v>
      </c>
      <c r="D506" s="18"/>
      <c r="E506" s="18">
        <f t="shared" si="13"/>
        <v>0</v>
      </c>
    </row>
    <row r="507" spans="1:5" ht="11.25">
      <c r="A507" s="9">
        <v>534508</v>
      </c>
      <c r="B507" s="18" t="s">
        <v>138</v>
      </c>
      <c r="C507" s="18">
        <v>0</v>
      </c>
      <c r="D507" s="18">
        <v>28825</v>
      </c>
      <c r="E507" s="18">
        <f aca="true" t="shared" si="14" ref="E507:E539">+C507+D507</f>
        <v>28825</v>
      </c>
    </row>
    <row r="508" spans="1:5" ht="11.25">
      <c r="A508" s="9">
        <v>540000</v>
      </c>
      <c r="B508" s="2" t="s">
        <v>367</v>
      </c>
      <c r="C508" s="2">
        <f>+C509+C515+C531+C540+C553</f>
        <v>0</v>
      </c>
      <c r="D508" s="2">
        <f>+D509+D515+D531+D537+D540+D545+D553</f>
        <v>10503081833</v>
      </c>
      <c r="E508" s="2">
        <f t="shared" si="14"/>
        <v>10503081833</v>
      </c>
    </row>
    <row r="509" spans="1:5" ht="11.25">
      <c r="A509" s="9">
        <v>540100</v>
      </c>
      <c r="B509" s="2" t="s">
        <v>368</v>
      </c>
      <c r="C509" s="2">
        <f>SUM(C510:C514)</f>
        <v>0</v>
      </c>
      <c r="D509" s="2">
        <f>SUM(D510:D514)</f>
        <v>1851184</v>
      </c>
      <c r="E509" s="2">
        <f t="shared" si="14"/>
        <v>1851184</v>
      </c>
    </row>
    <row r="510" spans="1:5" ht="11.25">
      <c r="A510" s="9">
        <v>540102</v>
      </c>
      <c r="B510" s="18" t="s">
        <v>369</v>
      </c>
      <c r="C510" s="18">
        <v>0</v>
      </c>
      <c r="D510" s="18"/>
      <c r="E510" s="18">
        <f t="shared" si="14"/>
        <v>0</v>
      </c>
    </row>
    <row r="511" spans="1:5" ht="11.25">
      <c r="A511" s="9">
        <v>540103</v>
      </c>
      <c r="B511" s="18" t="s">
        <v>370</v>
      </c>
      <c r="C511" s="18">
        <v>0</v>
      </c>
      <c r="D511" s="18">
        <v>1851184</v>
      </c>
      <c r="E511" s="18">
        <f t="shared" si="14"/>
        <v>1851184</v>
      </c>
    </row>
    <row r="512" spans="1:5" ht="11.25">
      <c r="A512" s="9">
        <v>540104</v>
      </c>
      <c r="B512" s="18" t="s">
        <v>371</v>
      </c>
      <c r="C512" s="18">
        <v>0</v>
      </c>
      <c r="D512" s="18"/>
      <c r="E512" s="18">
        <f t="shared" si="14"/>
        <v>0</v>
      </c>
    </row>
    <row r="513" spans="1:5" ht="11.25">
      <c r="A513" s="9">
        <v>540105</v>
      </c>
      <c r="B513" s="18" t="s">
        <v>372</v>
      </c>
      <c r="C513" s="18">
        <v>0</v>
      </c>
      <c r="D513" s="18"/>
      <c r="E513" s="18">
        <f t="shared" si="14"/>
        <v>0</v>
      </c>
    </row>
    <row r="514" spans="1:5" ht="11.25">
      <c r="A514" s="9">
        <v>540190</v>
      </c>
      <c r="B514" s="18" t="s">
        <v>373</v>
      </c>
      <c r="C514" s="18">
        <v>0</v>
      </c>
      <c r="D514" s="18"/>
      <c r="E514" s="18">
        <f t="shared" si="14"/>
        <v>0</v>
      </c>
    </row>
    <row r="515" spans="1:5" ht="11.25">
      <c r="A515" s="9">
        <v>540300</v>
      </c>
      <c r="B515" s="2" t="s">
        <v>374</v>
      </c>
      <c r="C515" s="2">
        <f>SUM(C516:C530)</f>
        <v>0</v>
      </c>
      <c r="D515" s="2">
        <f>SUM(D516:D530)</f>
        <v>2523074389</v>
      </c>
      <c r="E515" s="2">
        <f t="shared" si="14"/>
        <v>2523074389</v>
      </c>
    </row>
    <row r="516" spans="1:5" ht="11.25">
      <c r="A516" s="9">
        <v>540301</v>
      </c>
      <c r="B516" s="18" t="s">
        <v>375</v>
      </c>
      <c r="C516" s="18">
        <v>0</v>
      </c>
      <c r="D516" s="18">
        <v>1060579967</v>
      </c>
      <c r="E516" s="18">
        <f t="shared" si="14"/>
        <v>1060579967</v>
      </c>
    </row>
    <row r="517" spans="1:5" ht="11.25">
      <c r="A517" s="9">
        <v>540302</v>
      </c>
      <c r="B517" s="18" t="s">
        <v>376</v>
      </c>
      <c r="C517" s="18">
        <v>0</v>
      </c>
      <c r="D517" s="18">
        <v>57949</v>
      </c>
      <c r="E517" s="18">
        <f t="shared" si="14"/>
        <v>57949</v>
      </c>
    </row>
    <row r="518" spans="1:5" ht="11.25">
      <c r="A518" s="9">
        <v>540303</v>
      </c>
      <c r="B518" s="18" t="s">
        <v>377</v>
      </c>
      <c r="C518" s="18">
        <v>0</v>
      </c>
      <c r="D518" s="18"/>
      <c r="E518" s="18">
        <f t="shared" si="14"/>
        <v>0</v>
      </c>
    </row>
    <row r="519" spans="1:5" ht="11.25">
      <c r="A519" s="9">
        <v>540304</v>
      </c>
      <c r="B519" s="18" t="s">
        <v>378</v>
      </c>
      <c r="C519" s="18">
        <v>0</v>
      </c>
      <c r="D519" s="18">
        <v>856946171</v>
      </c>
      <c r="E519" s="18">
        <f t="shared" si="14"/>
        <v>856946171</v>
      </c>
    </row>
    <row r="520" spans="1:5" ht="11.25">
      <c r="A520" s="9">
        <v>540305</v>
      </c>
      <c r="B520" s="18" t="s">
        <v>379</v>
      </c>
      <c r="C520" s="18">
        <v>0</v>
      </c>
      <c r="D520" s="18"/>
      <c r="E520" s="18">
        <f t="shared" si="14"/>
        <v>0</v>
      </c>
    </row>
    <row r="521" spans="1:5" ht="11.25">
      <c r="A521" s="9">
        <v>540306</v>
      </c>
      <c r="B521" s="18" t="s">
        <v>380</v>
      </c>
      <c r="C521" s="18">
        <v>0</v>
      </c>
      <c r="D521" s="47"/>
      <c r="E521" s="18">
        <f t="shared" si="14"/>
        <v>0</v>
      </c>
    </row>
    <row r="522" spans="1:5" ht="11.25">
      <c r="A522" s="9">
        <v>540308</v>
      </c>
      <c r="B522" s="18" t="s">
        <v>381</v>
      </c>
      <c r="C522" s="18">
        <v>0</v>
      </c>
      <c r="D522" s="18"/>
      <c r="E522" s="18">
        <f t="shared" si="14"/>
        <v>0</v>
      </c>
    </row>
    <row r="523" spans="1:5" ht="11.25">
      <c r="A523" s="9">
        <v>540309</v>
      </c>
      <c r="B523" s="18" t="s">
        <v>382</v>
      </c>
      <c r="C523" s="18">
        <v>0</v>
      </c>
      <c r="D523" s="18"/>
      <c r="E523" s="18">
        <f t="shared" si="14"/>
        <v>0</v>
      </c>
    </row>
    <row r="524" spans="1:5" ht="11.25">
      <c r="A524" s="9">
        <v>540311</v>
      </c>
      <c r="B524" s="18" t="s">
        <v>383</v>
      </c>
      <c r="C524" s="18">
        <v>0</v>
      </c>
      <c r="D524" s="18">
        <v>596187102</v>
      </c>
      <c r="E524" s="18">
        <f t="shared" si="14"/>
        <v>596187102</v>
      </c>
    </row>
    <row r="525" spans="1:5" ht="11.25">
      <c r="A525" s="9">
        <v>540312</v>
      </c>
      <c r="B525" s="18" t="s">
        <v>384</v>
      </c>
      <c r="C525" s="18"/>
      <c r="D525" s="18"/>
      <c r="E525" s="18">
        <f t="shared" si="14"/>
        <v>0</v>
      </c>
    </row>
    <row r="526" spans="1:5" ht="11.25">
      <c r="A526" s="9">
        <v>540313</v>
      </c>
      <c r="B526" s="18" t="s">
        <v>385</v>
      </c>
      <c r="C526" s="18">
        <v>0</v>
      </c>
      <c r="D526" s="18"/>
      <c r="E526" s="18">
        <f t="shared" si="14"/>
        <v>0</v>
      </c>
    </row>
    <row r="527" spans="1:5" ht="11.25">
      <c r="A527" s="9">
        <v>540315</v>
      </c>
      <c r="B527" s="18" t="s">
        <v>386</v>
      </c>
      <c r="C527" s="18">
        <v>0</v>
      </c>
      <c r="D527" s="18"/>
      <c r="E527" s="18">
        <f t="shared" si="14"/>
        <v>0</v>
      </c>
    </row>
    <row r="528" spans="1:5" ht="11.25">
      <c r="A528" s="9">
        <v>540318</v>
      </c>
      <c r="B528" s="18" t="s">
        <v>387</v>
      </c>
      <c r="C528" s="18">
        <v>0</v>
      </c>
      <c r="D528" s="18">
        <v>9303200</v>
      </c>
      <c r="E528" s="18">
        <f t="shared" si="14"/>
        <v>9303200</v>
      </c>
    </row>
    <row r="529" spans="1:5" ht="11.25">
      <c r="A529" s="9">
        <v>540329</v>
      </c>
      <c r="B529" s="18" t="s">
        <v>388</v>
      </c>
      <c r="C529" s="18">
        <v>0</v>
      </c>
      <c r="D529" s="18"/>
      <c r="E529" s="18">
        <f t="shared" si="14"/>
        <v>0</v>
      </c>
    </row>
    <row r="530" spans="1:5" ht="11.25">
      <c r="A530" s="9">
        <v>540390</v>
      </c>
      <c r="B530" s="18" t="s">
        <v>389</v>
      </c>
      <c r="C530" s="18">
        <v>0</v>
      </c>
      <c r="D530" s="18"/>
      <c r="E530" s="18">
        <f t="shared" si="14"/>
        <v>0</v>
      </c>
    </row>
    <row r="531" spans="1:5" ht="11.25">
      <c r="A531" s="9">
        <v>540400</v>
      </c>
      <c r="B531" s="2" t="s">
        <v>390</v>
      </c>
      <c r="C531" s="2">
        <f>SUM(C532:C536)</f>
        <v>0</v>
      </c>
      <c r="D531" s="2">
        <f>SUM(D532:D536)</f>
        <v>290682</v>
      </c>
      <c r="E531" s="2">
        <f t="shared" si="14"/>
        <v>290682</v>
      </c>
    </row>
    <row r="532" spans="1:5" ht="11.25">
      <c r="A532" s="9">
        <v>540401</v>
      </c>
      <c r="B532" s="18" t="s">
        <v>391</v>
      </c>
      <c r="C532" s="18">
        <v>0</v>
      </c>
      <c r="D532" s="18"/>
      <c r="E532" s="18">
        <f t="shared" si="14"/>
        <v>0</v>
      </c>
    </row>
    <row r="533" spans="1:5" ht="11.25">
      <c r="A533" s="9">
        <v>540402</v>
      </c>
      <c r="B533" s="18" t="s">
        <v>392</v>
      </c>
      <c r="C533" s="18">
        <v>0</v>
      </c>
      <c r="D533" s="18"/>
      <c r="E533" s="18">
        <f t="shared" si="14"/>
        <v>0</v>
      </c>
    </row>
    <row r="534" spans="1:5" ht="11.25">
      <c r="A534" s="9">
        <v>540403</v>
      </c>
      <c r="B534" s="18" t="s">
        <v>393</v>
      </c>
      <c r="C534" s="18">
        <v>0</v>
      </c>
      <c r="D534" s="18"/>
      <c r="E534" s="18">
        <f t="shared" si="14"/>
        <v>0</v>
      </c>
    </row>
    <row r="535" spans="1:5" ht="11.25">
      <c r="A535" s="9">
        <v>540404</v>
      </c>
      <c r="B535" s="18" t="s">
        <v>394</v>
      </c>
      <c r="C535" s="18">
        <v>0</v>
      </c>
      <c r="D535" s="18">
        <v>290682</v>
      </c>
      <c r="E535" s="18">
        <f t="shared" si="14"/>
        <v>290682</v>
      </c>
    </row>
    <row r="536" spans="1:5" ht="11.25">
      <c r="A536" s="9">
        <v>540490</v>
      </c>
      <c r="B536" s="18" t="s">
        <v>395</v>
      </c>
      <c r="C536" s="18">
        <v>0</v>
      </c>
      <c r="D536" s="18"/>
      <c r="E536" s="18">
        <f t="shared" si="14"/>
        <v>0</v>
      </c>
    </row>
    <row r="537" spans="1:5" ht="11.25">
      <c r="A537" s="9">
        <v>540700</v>
      </c>
      <c r="B537" s="2" t="s">
        <v>396</v>
      </c>
      <c r="C537" s="18">
        <v>0</v>
      </c>
      <c r="D537" s="2">
        <f>SUM(D538:D539)</f>
        <v>0</v>
      </c>
      <c r="E537" s="2">
        <f t="shared" si="14"/>
        <v>0</v>
      </c>
    </row>
    <row r="538" spans="1:5" ht="11.25">
      <c r="A538" s="9">
        <v>540705</v>
      </c>
      <c r="B538" s="18" t="s">
        <v>397</v>
      </c>
      <c r="C538" s="18">
        <v>0</v>
      </c>
      <c r="D538" s="18">
        <v>0</v>
      </c>
      <c r="E538" s="18">
        <f t="shared" si="14"/>
        <v>0</v>
      </c>
    </row>
    <row r="539" spans="1:5" ht="11.25">
      <c r="A539" s="9">
        <v>540706</v>
      </c>
      <c r="B539" s="18" t="s">
        <v>398</v>
      </c>
      <c r="C539" s="18">
        <v>0</v>
      </c>
      <c r="D539" s="18">
        <v>0</v>
      </c>
      <c r="E539" s="18">
        <f t="shared" si="14"/>
        <v>0</v>
      </c>
    </row>
    <row r="540" spans="1:5" ht="11.25">
      <c r="A540" s="9">
        <v>540800</v>
      </c>
      <c r="B540" s="2" t="s">
        <v>399</v>
      </c>
      <c r="C540" s="2">
        <f>SUM(C541:C543)</f>
        <v>0</v>
      </c>
      <c r="D540" s="2">
        <f>SUM(D541:D544)</f>
        <v>7977865578</v>
      </c>
      <c r="E540" s="2">
        <f aca="true" t="shared" si="15" ref="E540:E574">+C540+D540</f>
        <v>7977865578</v>
      </c>
    </row>
    <row r="541" spans="1:5" ht="11.25">
      <c r="A541" s="9">
        <v>540802</v>
      </c>
      <c r="B541" s="18" t="s">
        <v>400</v>
      </c>
      <c r="C541" s="18">
        <v>0</v>
      </c>
      <c r="D541" s="18">
        <v>4332286400</v>
      </c>
      <c r="E541" s="18">
        <f t="shared" si="15"/>
        <v>4332286400</v>
      </c>
    </row>
    <row r="542" spans="1:5" ht="11.25">
      <c r="A542" s="9">
        <v>540806</v>
      </c>
      <c r="B542" s="18" t="s">
        <v>401</v>
      </c>
      <c r="C542" s="18">
        <v>0</v>
      </c>
      <c r="D542" s="18">
        <v>2503114959</v>
      </c>
      <c r="E542" s="18">
        <f t="shared" si="15"/>
        <v>2503114959</v>
      </c>
    </row>
    <row r="543" spans="1:5" ht="11.25">
      <c r="A543" s="9">
        <v>540812</v>
      </c>
      <c r="B543" s="18" t="s">
        <v>402</v>
      </c>
      <c r="C543" s="18">
        <v>0</v>
      </c>
      <c r="D543" s="18">
        <v>1142464219</v>
      </c>
      <c r="E543" s="18">
        <f t="shared" si="15"/>
        <v>1142464219</v>
      </c>
    </row>
    <row r="544" spans="1:5" ht="11.25">
      <c r="A544" s="9">
        <v>540816</v>
      </c>
      <c r="B544" s="18" t="s">
        <v>403</v>
      </c>
      <c r="C544" s="18">
        <v>0</v>
      </c>
      <c r="D544" s="18"/>
      <c r="E544" s="18">
        <f t="shared" si="15"/>
        <v>0</v>
      </c>
    </row>
    <row r="545" spans="1:5" ht="11.25">
      <c r="A545" s="9">
        <v>541100</v>
      </c>
      <c r="B545" s="2" t="s">
        <v>404</v>
      </c>
      <c r="C545" s="2">
        <f>SUM(C546:C552)</f>
        <v>0</v>
      </c>
      <c r="D545" s="2">
        <f>SUM(D546:D552)</f>
        <v>0</v>
      </c>
      <c r="E545" s="2">
        <f t="shared" si="15"/>
        <v>0</v>
      </c>
    </row>
    <row r="546" spans="1:5" ht="11.25">
      <c r="A546" s="9">
        <v>541101</v>
      </c>
      <c r="B546" s="18" t="s">
        <v>375</v>
      </c>
      <c r="C546" s="18">
        <v>0</v>
      </c>
      <c r="D546" s="18">
        <v>0</v>
      </c>
      <c r="E546" s="18">
        <f t="shared" si="15"/>
        <v>0</v>
      </c>
    </row>
    <row r="547" spans="1:5" ht="11.25">
      <c r="A547" s="9">
        <v>541104</v>
      </c>
      <c r="B547" s="18" t="s">
        <v>405</v>
      </c>
      <c r="C547" s="18">
        <v>0</v>
      </c>
      <c r="D547" s="18">
        <v>0</v>
      </c>
      <c r="E547" s="18">
        <f t="shared" si="15"/>
        <v>0</v>
      </c>
    </row>
    <row r="548" spans="1:5" ht="11.25">
      <c r="A548" s="9">
        <v>541106</v>
      </c>
      <c r="B548" s="18" t="s">
        <v>406</v>
      </c>
      <c r="C548" s="18">
        <v>0</v>
      </c>
      <c r="D548" s="18">
        <v>0</v>
      </c>
      <c r="E548" s="18">
        <f t="shared" si="15"/>
        <v>0</v>
      </c>
    </row>
    <row r="549" spans="1:5" ht="11.25">
      <c r="A549" s="9">
        <v>541108</v>
      </c>
      <c r="B549" s="18" t="s">
        <v>381</v>
      </c>
      <c r="C549" s="18">
        <v>0</v>
      </c>
      <c r="D549" s="18">
        <v>0</v>
      </c>
      <c r="E549" s="18">
        <f t="shared" si="15"/>
        <v>0</v>
      </c>
    </row>
    <row r="550" spans="1:5" ht="11.25">
      <c r="A550" s="9">
        <v>541111</v>
      </c>
      <c r="B550" s="18" t="s">
        <v>383</v>
      </c>
      <c r="C550" s="18">
        <v>0</v>
      </c>
      <c r="D550" s="18">
        <v>0</v>
      </c>
      <c r="E550" s="18">
        <f t="shared" si="15"/>
        <v>0</v>
      </c>
    </row>
    <row r="551" spans="1:5" ht="11.25">
      <c r="A551" s="9">
        <v>541115</v>
      </c>
      <c r="B551" s="18" t="s">
        <v>386</v>
      </c>
      <c r="C551" s="18">
        <v>0</v>
      </c>
      <c r="D551" s="18">
        <v>0</v>
      </c>
      <c r="E551" s="18">
        <f t="shared" si="15"/>
        <v>0</v>
      </c>
    </row>
    <row r="552" spans="1:5" ht="11.25">
      <c r="A552" s="9">
        <v>541122</v>
      </c>
      <c r="B552" s="18" t="s">
        <v>407</v>
      </c>
      <c r="C552" s="18">
        <v>0</v>
      </c>
      <c r="D552" s="18">
        <v>0</v>
      </c>
      <c r="E552" s="18">
        <f t="shared" si="15"/>
        <v>0</v>
      </c>
    </row>
    <row r="553" spans="1:5" ht="11.25">
      <c r="A553" s="9">
        <v>541700</v>
      </c>
      <c r="B553" s="2" t="s">
        <v>408</v>
      </c>
      <c r="C553" s="2">
        <f>+C554</f>
        <v>0</v>
      </c>
      <c r="D553" s="2">
        <f>+D554</f>
        <v>0</v>
      </c>
      <c r="E553" s="2">
        <f t="shared" si="15"/>
        <v>0</v>
      </c>
    </row>
    <row r="554" spans="1:5" ht="11.25">
      <c r="A554" s="9">
        <v>541702</v>
      </c>
      <c r="B554" s="18" t="s">
        <v>409</v>
      </c>
      <c r="C554" s="18">
        <v>0</v>
      </c>
      <c r="D554" s="18"/>
      <c r="E554" s="18">
        <f t="shared" si="15"/>
        <v>0</v>
      </c>
    </row>
    <row r="555" spans="1:5" ht="11.25">
      <c r="A555" s="9">
        <v>550000</v>
      </c>
      <c r="B555" s="2" t="s">
        <v>410</v>
      </c>
      <c r="C555" s="2">
        <v>0</v>
      </c>
      <c r="D555" s="2">
        <f>+D556+D558</f>
        <v>21324541</v>
      </c>
      <c r="E555" s="2">
        <f t="shared" si="15"/>
        <v>21324541</v>
      </c>
    </row>
    <row r="556" spans="1:5" ht="11.25">
      <c r="A556" s="9">
        <v>550100</v>
      </c>
      <c r="B556" s="2" t="s">
        <v>411</v>
      </c>
      <c r="C556" s="2">
        <v>0</v>
      </c>
      <c r="D556" s="2">
        <f>+D557</f>
        <v>21324541</v>
      </c>
      <c r="E556" s="2">
        <f t="shared" si="15"/>
        <v>21324541</v>
      </c>
    </row>
    <row r="557" spans="1:5" ht="11.25">
      <c r="A557" s="9">
        <v>550106</v>
      </c>
      <c r="B557" s="18" t="s">
        <v>412</v>
      </c>
      <c r="C557" s="18">
        <v>0</v>
      </c>
      <c r="D557" s="18">
        <v>21324541</v>
      </c>
      <c r="E557" s="18">
        <f t="shared" si="15"/>
        <v>21324541</v>
      </c>
    </row>
    <row r="558" spans="1:5" ht="11.25">
      <c r="A558" s="9">
        <v>555000</v>
      </c>
      <c r="B558" s="2" t="s">
        <v>179</v>
      </c>
      <c r="C558" s="2">
        <v>0</v>
      </c>
      <c r="D558" s="2">
        <f>+D559</f>
        <v>0</v>
      </c>
      <c r="E558" s="2">
        <f t="shared" si="15"/>
        <v>0</v>
      </c>
    </row>
    <row r="559" spans="1:5" ht="11.25">
      <c r="A559" s="9">
        <v>555002</v>
      </c>
      <c r="B559" s="10" t="s">
        <v>413</v>
      </c>
      <c r="C559" s="17">
        <v>0</v>
      </c>
      <c r="D559" s="18"/>
      <c r="E559" s="18">
        <f t="shared" si="15"/>
        <v>0</v>
      </c>
    </row>
    <row r="560" spans="1:5" ht="11.25">
      <c r="A560" s="9">
        <v>560000</v>
      </c>
      <c r="B560" s="2" t="s">
        <v>414</v>
      </c>
      <c r="C560" s="15">
        <v>0</v>
      </c>
      <c r="D560" s="2">
        <f>+D563+D561</f>
        <v>0</v>
      </c>
      <c r="E560" s="2">
        <f t="shared" si="15"/>
        <v>0</v>
      </c>
    </row>
    <row r="561" spans="1:5" ht="11.25">
      <c r="A561" s="9">
        <v>560100</v>
      </c>
      <c r="B561" s="2" t="s">
        <v>538</v>
      </c>
      <c r="C561" s="15"/>
      <c r="D561" s="2">
        <f>+D562</f>
        <v>0</v>
      </c>
      <c r="E561" s="2">
        <f t="shared" si="15"/>
        <v>0</v>
      </c>
    </row>
    <row r="562" spans="1:5" ht="11.25">
      <c r="A562" s="9">
        <v>560101</v>
      </c>
      <c r="B562" s="18" t="s">
        <v>539</v>
      </c>
      <c r="C562" s="15"/>
      <c r="D562" s="18"/>
      <c r="E562" s="18">
        <f t="shared" si="15"/>
        <v>0</v>
      </c>
    </row>
    <row r="563" spans="1:5" ht="11.25">
      <c r="A563" s="9">
        <v>560200</v>
      </c>
      <c r="B563" s="2" t="s">
        <v>415</v>
      </c>
      <c r="C563" s="15">
        <v>0</v>
      </c>
      <c r="D563" s="2">
        <f>+D564</f>
        <v>0</v>
      </c>
      <c r="E563" s="2">
        <f t="shared" si="15"/>
        <v>0</v>
      </c>
    </row>
    <row r="564" spans="1:5" ht="11.25">
      <c r="A564" s="9">
        <v>560206</v>
      </c>
      <c r="B564" s="10" t="s">
        <v>412</v>
      </c>
      <c r="C564" s="17">
        <v>0</v>
      </c>
      <c r="D564" s="18"/>
      <c r="E564" s="18">
        <f t="shared" si="15"/>
        <v>0</v>
      </c>
    </row>
    <row r="565" spans="1:5" ht="11.25">
      <c r="A565" s="9">
        <v>570000</v>
      </c>
      <c r="B565" s="2" t="s">
        <v>253</v>
      </c>
      <c r="C565" s="2">
        <f>+C566+C573+C575</f>
        <v>0</v>
      </c>
      <c r="D565" s="2">
        <f>+D566+D573+D575+D577</f>
        <v>30650993</v>
      </c>
      <c r="E565" s="2">
        <f t="shared" si="15"/>
        <v>30650993</v>
      </c>
    </row>
    <row r="566" spans="1:5" ht="11.25">
      <c r="A566" s="9">
        <v>570500</v>
      </c>
      <c r="B566" s="2" t="s">
        <v>416</v>
      </c>
      <c r="C566" s="2">
        <f>SUM(C567:C572)</f>
        <v>0</v>
      </c>
      <c r="D566" s="2">
        <f>SUM(D567:D572)</f>
        <v>3665226</v>
      </c>
      <c r="E566" s="2">
        <f t="shared" si="15"/>
        <v>3665226</v>
      </c>
    </row>
    <row r="567" spans="1:5" ht="11.25">
      <c r="A567" s="9">
        <v>570501</v>
      </c>
      <c r="B567" s="18" t="s">
        <v>417</v>
      </c>
      <c r="C567" s="18">
        <v>0</v>
      </c>
      <c r="D567" s="18">
        <v>13328</v>
      </c>
      <c r="E567" s="18">
        <f t="shared" si="15"/>
        <v>13328</v>
      </c>
    </row>
    <row r="568" spans="1:5" ht="11.25">
      <c r="A568" s="9">
        <v>570502</v>
      </c>
      <c r="B568" s="18" t="s">
        <v>256</v>
      </c>
      <c r="C568" s="18">
        <v>0</v>
      </c>
      <c r="D568" s="18">
        <v>190382</v>
      </c>
      <c r="E568" s="18">
        <f t="shared" si="15"/>
        <v>190382</v>
      </c>
    </row>
    <row r="569" spans="1:5" ht="11.25">
      <c r="A569" s="9">
        <v>570503</v>
      </c>
      <c r="B569" s="18" t="s">
        <v>540</v>
      </c>
      <c r="C569" s="18"/>
      <c r="D569" s="18"/>
      <c r="E569" s="18">
        <f t="shared" si="15"/>
        <v>0</v>
      </c>
    </row>
    <row r="570" spans="1:5" ht="11.25">
      <c r="A570" s="9">
        <v>570505</v>
      </c>
      <c r="B570" s="18" t="s">
        <v>257</v>
      </c>
      <c r="C570" s="18">
        <v>0</v>
      </c>
      <c r="D570" s="18">
        <v>3257990</v>
      </c>
      <c r="E570" s="18">
        <f t="shared" si="15"/>
        <v>3257990</v>
      </c>
    </row>
    <row r="571" spans="1:5" ht="11.25">
      <c r="A571" s="9">
        <v>570506</v>
      </c>
      <c r="B571" s="18" t="s">
        <v>418</v>
      </c>
      <c r="C571" s="18"/>
      <c r="D571" s="18">
        <v>203526</v>
      </c>
      <c r="E571" s="18">
        <f t="shared" si="15"/>
        <v>203526</v>
      </c>
    </row>
    <row r="572" spans="1:5" ht="11.25">
      <c r="A572" s="9">
        <v>570590</v>
      </c>
      <c r="B572" s="18" t="s">
        <v>419</v>
      </c>
      <c r="C572" s="18">
        <v>0</v>
      </c>
      <c r="D572" s="18"/>
      <c r="E572" s="18">
        <f t="shared" si="15"/>
        <v>0</v>
      </c>
    </row>
    <row r="573" spans="1:5" ht="11.25">
      <c r="A573" s="9">
        <v>572000</v>
      </c>
      <c r="B573" s="2" t="s">
        <v>420</v>
      </c>
      <c r="C573" s="2">
        <v>0</v>
      </c>
      <c r="D573" s="2">
        <f>+D574</f>
        <v>23792385</v>
      </c>
      <c r="E573" s="2">
        <f t="shared" si="15"/>
        <v>23792385</v>
      </c>
    </row>
    <row r="574" spans="1:5" ht="11.25">
      <c r="A574" s="9">
        <v>572080</v>
      </c>
      <c r="B574" s="18" t="s">
        <v>421</v>
      </c>
      <c r="C574" s="18">
        <v>0</v>
      </c>
      <c r="D574" s="18">
        <v>23792385</v>
      </c>
      <c r="E574" s="18">
        <f t="shared" si="15"/>
        <v>23792385</v>
      </c>
    </row>
    <row r="575" spans="1:5" ht="11.25">
      <c r="A575" s="9">
        <v>572200</v>
      </c>
      <c r="B575" s="2" t="s">
        <v>422</v>
      </c>
      <c r="C575" s="2">
        <f>+C576</f>
        <v>0</v>
      </c>
      <c r="D575" s="2">
        <f>SUM(D576:D576)</f>
        <v>3193382</v>
      </c>
      <c r="E575" s="2">
        <f aca="true" t="shared" si="16" ref="E575:E582">+C575+D575</f>
        <v>3193382</v>
      </c>
    </row>
    <row r="576" spans="1:5" ht="11.25">
      <c r="A576" s="9">
        <v>572201</v>
      </c>
      <c r="B576" s="18" t="s">
        <v>566</v>
      </c>
      <c r="C576" s="18">
        <v>0</v>
      </c>
      <c r="D576" s="18">
        <v>3193382</v>
      </c>
      <c r="E576" s="18">
        <f t="shared" si="16"/>
        <v>3193382</v>
      </c>
    </row>
    <row r="577" spans="1:5" ht="11.25">
      <c r="A577" s="9">
        <v>572500</v>
      </c>
      <c r="B577" s="2" t="s">
        <v>423</v>
      </c>
      <c r="C577" s="2">
        <f>+C578</f>
        <v>0</v>
      </c>
      <c r="D577" s="2">
        <f>+D578</f>
        <v>0</v>
      </c>
      <c r="E577" s="2">
        <f t="shared" si="16"/>
        <v>0</v>
      </c>
    </row>
    <row r="578" spans="1:5" ht="11.25">
      <c r="A578" s="9">
        <v>572501</v>
      </c>
      <c r="B578" s="18" t="s">
        <v>424</v>
      </c>
      <c r="C578" s="18"/>
      <c r="D578" s="18">
        <v>0</v>
      </c>
      <c r="E578" s="18">
        <f t="shared" si="16"/>
        <v>0</v>
      </c>
    </row>
    <row r="579" spans="1:5" ht="11.25">
      <c r="A579" s="9">
        <v>580000</v>
      </c>
      <c r="B579" s="2" t="s">
        <v>425</v>
      </c>
      <c r="C579" s="2"/>
      <c r="D579" s="2">
        <f>+D582+D585+D587+D580</f>
        <v>119178943</v>
      </c>
      <c r="E579" s="2">
        <f t="shared" si="16"/>
        <v>119178943</v>
      </c>
    </row>
    <row r="580" spans="1:5" ht="11.25">
      <c r="A580" s="9">
        <v>580100</v>
      </c>
      <c r="B580" s="2" t="s">
        <v>610</v>
      </c>
      <c r="C580" s="2"/>
      <c r="D580" s="2">
        <f>SUM(D581)</f>
        <v>47194</v>
      </c>
      <c r="E580" s="2">
        <f>SUM(C580:D580)</f>
        <v>47194</v>
      </c>
    </row>
    <row r="581" spans="1:5" ht="11.25">
      <c r="A581" s="9">
        <v>580107</v>
      </c>
      <c r="B581" s="18" t="s">
        <v>611</v>
      </c>
      <c r="C581" s="18"/>
      <c r="D581" s="18">
        <v>47194</v>
      </c>
      <c r="E581" s="18">
        <f>SUM(C581:D581)</f>
        <v>47194</v>
      </c>
    </row>
    <row r="582" spans="1:5" ht="11.25">
      <c r="A582" s="9">
        <v>580500</v>
      </c>
      <c r="B582" s="2" t="s">
        <v>270</v>
      </c>
      <c r="C582" s="2"/>
      <c r="D582" s="2">
        <f>+D583</f>
        <v>37838</v>
      </c>
      <c r="E582" s="2">
        <f t="shared" si="16"/>
        <v>37838</v>
      </c>
    </row>
    <row r="583" spans="1:5" ht="11.25">
      <c r="A583" s="9">
        <v>580536</v>
      </c>
      <c r="B583" s="18" t="s">
        <v>426</v>
      </c>
      <c r="C583" s="18"/>
      <c r="D583" s="18">
        <f>15191+146+22501</f>
        <v>37838</v>
      </c>
      <c r="E583" s="18">
        <f>SUM(C583:D583)</f>
        <v>37838</v>
      </c>
    </row>
    <row r="584" spans="1:5" ht="11.25">
      <c r="A584" s="9">
        <v>580590</v>
      </c>
      <c r="B584" s="18" t="s">
        <v>427</v>
      </c>
      <c r="C584" s="18">
        <v>0</v>
      </c>
      <c r="D584" s="18"/>
      <c r="E584" s="18">
        <f aca="true" t="shared" si="17" ref="E584:E627">+C584+D584</f>
        <v>0</v>
      </c>
    </row>
    <row r="585" spans="1:5" ht="11.25">
      <c r="A585" s="9">
        <v>581000</v>
      </c>
      <c r="B585" s="2" t="s">
        <v>278</v>
      </c>
      <c r="C585" s="2">
        <f>+C586</f>
        <v>0</v>
      </c>
      <c r="D585" s="2">
        <f>+D586</f>
        <v>21000</v>
      </c>
      <c r="E585" s="2">
        <f t="shared" si="17"/>
        <v>21000</v>
      </c>
    </row>
    <row r="586" spans="1:5" ht="11.25">
      <c r="A586" s="9">
        <v>581004</v>
      </c>
      <c r="B586" s="18" t="s">
        <v>428</v>
      </c>
      <c r="C586" s="18">
        <v>0</v>
      </c>
      <c r="D586" s="18">
        <f>20999+1</f>
        <v>21000</v>
      </c>
      <c r="E586" s="18">
        <f t="shared" si="17"/>
        <v>21000</v>
      </c>
    </row>
    <row r="587" spans="1:5" ht="11.25">
      <c r="A587" s="9">
        <v>581500</v>
      </c>
      <c r="B587" s="2" t="s">
        <v>286</v>
      </c>
      <c r="C587" s="2">
        <v>0</v>
      </c>
      <c r="D587" s="2">
        <f>SUM(D588:D597)</f>
        <v>119072911</v>
      </c>
      <c r="E587" s="2">
        <f t="shared" si="17"/>
        <v>119072911</v>
      </c>
    </row>
    <row r="588" spans="1:5" ht="11.25">
      <c r="A588" s="9">
        <v>581509</v>
      </c>
      <c r="B588" s="18" t="s">
        <v>567</v>
      </c>
      <c r="C588" s="2"/>
      <c r="D588" s="18">
        <v>31099876</v>
      </c>
      <c r="E588" s="18">
        <f>SUM(C588:D588)</f>
        <v>31099876</v>
      </c>
    </row>
    <row r="589" spans="1:5" ht="11.25">
      <c r="A589" s="9">
        <v>581510</v>
      </c>
      <c r="B589" s="18" t="s">
        <v>256</v>
      </c>
      <c r="C589" s="2"/>
      <c r="D589" s="18">
        <v>22537</v>
      </c>
      <c r="E589" s="18">
        <f>SUM(C589:D589)</f>
        <v>22537</v>
      </c>
    </row>
    <row r="590" spans="1:5" ht="11.25">
      <c r="A590" s="9">
        <v>581527</v>
      </c>
      <c r="B590" s="18" t="s">
        <v>429</v>
      </c>
      <c r="C590" s="18"/>
      <c r="D590" s="18"/>
      <c r="E590" s="18">
        <f t="shared" si="17"/>
        <v>0</v>
      </c>
    </row>
    <row r="591" spans="1:5" ht="11.25">
      <c r="A591" s="9">
        <v>581535</v>
      </c>
      <c r="B591" s="18" t="s">
        <v>430</v>
      </c>
      <c r="C591" s="18">
        <v>0</v>
      </c>
      <c r="D591" s="18"/>
      <c r="E591" s="18">
        <f aca="true" t="shared" si="18" ref="E591:E597">SUM(C591:D591)</f>
        <v>0</v>
      </c>
    </row>
    <row r="592" spans="1:5" ht="11.25">
      <c r="A592" s="9">
        <v>581542</v>
      </c>
      <c r="B592" s="18" t="s">
        <v>431</v>
      </c>
      <c r="C592" s="18">
        <v>0</v>
      </c>
      <c r="D592" s="18"/>
      <c r="E592" s="18">
        <f t="shared" si="18"/>
        <v>0</v>
      </c>
    </row>
    <row r="593" spans="1:5" ht="11.25">
      <c r="A593" s="9">
        <v>581544</v>
      </c>
      <c r="B593" s="18" t="s">
        <v>432</v>
      </c>
      <c r="C593" s="18">
        <v>0</v>
      </c>
      <c r="D593" s="18"/>
      <c r="E593" s="18">
        <f t="shared" si="18"/>
        <v>0</v>
      </c>
    </row>
    <row r="594" spans="1:5" ht="11.25">
      <c r="A594" s="9">
        <v>581545</v>
      </c>
      <c r="B594" s="18" t="s">
        <v>433</v>
      </c>
      <c r="C594" s="18">
        <v>0</v>
      </c>
      <c r="D594" s="18"/>
      <c r="E594" s="18">
        <f t="shared" si="18"/>
        <v>0</v>
      </c>
    </row>
    <row r="595" spans="1:5" ht="11.25">
      <c r="A595" s="9">
        <v>581546</v>
      </c>
      <c r="B595" s="18" t="s">
        <v>434</v>
      </c>
      <c r="C595" s="18">
        <v>0</v>
      </c>
      <c r="D595" s="18"/>
      <c r="E595" s="18">
        <f t="shared" si="18"/>
        <v>0</v>
      </c>
    </row>
    <row r="596" spans="1:5" ht="11.25">
      <c r="A596" s="9">
        <v>581557</v>
      </c>
      <c r="B596" s="18" t="s">
        <v>568</v>
      </c>
      <c r="C596" s="18"/>
      <c r="D596" s="18">
        <v>5823800</v>
      </c>
      <c r="E596" s="18">
        <f t="shared" si="18"/>
        <v>5823800</v>
      </c>
    </row>
    <row r="597" spans="1:5" ht="11.25">
      <c r="A597" s="9">
        <v>581558</v>
      </c>
      <c r="B597" s="18" t="s">
        <v>435</v>
      </c>
      <c r="C597" s="18">
        <v>0</v>
      </c>
      <c r="D597" s="18">
        <v>82126698</v>
      </c>
      <c r="E597" s="18">
        <f t="shared" si="18"/>
        <v>82126698</v>
      </c>
    </row>
    <row r="598" spans="1:5" ht="11.25">
      <c r="A598" s="9">
        <v>590000</v>
      </c>
      <c r="B598" s="2" t="s">
        <v>436</v>
      </c>
      <c r="C598" s="2">
        <f>+C599</f>
        <v>0</v>
      </c>
      <c r="D598" s="2">
        <f>+D599</f>
        <v>-89424635</v>
      </c>
      <c r="E598" s="2">
        <f t="shared" si="17"/>
        <v>-89424635</v>
      </c>
    </row>
    <row r="599" spans="1:5" ht="11.25">
      <c r="A599" s="9">
        <v>590500</v>
      </c>
      <c r="B599" s="2" t="s">
        <v>436</v>
      </c>
      <c r="C599" s="2">
        <f>+C600</f>
        <v>0</v>
      </c>
      <c r="D599" s="2">
        <f>+D600</f>
        <v>-89424635</v>
      </c>
      <c r="E599" s="2">
        <f t="shared" si="17"/>
        <v>-89424635</v>
      </c>
    </row>
    <row r="600" spans="1:5" ht="11.25">
      <c r="A600" s="9">
        <v>590501</v>
      </c>
      <c r="B600" s="18" t="s">
        <v>437</v>
      </c>
      <c r="C600" s="47"/>
      <c r="D600" s="2">
        <f>-90995667+830420+740612</f>
        <v>-89424635</v>
      </c>
      <c r="E600" s="18">
        <f t="shared" si="17"/>
        <v>-89424635</v>
      </c>
    </row>
    <row r="601" spans="1:5" s="26" customFormat="1" ht="11.25">
      <c r="A601" s="9">
        <v>800000</v>
      </c>
      <c r="B601" s="2" t="s">
        <v>438</v>
      </c>
      <c r="C601" s="2">
        <f>+C602+C613</f>
        <v>0</v>
      </c>
      <c r="D601" s="2">
        <f>+D602+D613</f>
        <v>0</v>
      </c>
      <c r="E601" s="2">
        <f t="shared" si="17"/>
        <v>0</v>
      </c>
    </row>
    <row r="602" spans="1:5" s="26" customFormat="1" ht="11.25">
      <c r="A602" s="9">
        <v>830000</v>
      </c>
      <c r="B602" s="2" t="s">
        <v>439</v>
      </c>
      <c r="C602" s="2">
        <f>+C603+C611</f>
        <v>0</v>
      </c>
      <c r="D602" s="2">
        <f>+D603+D606+D611+D608</f>
        <v>763593</v>
      </c>
      <c r="E602" s="2">
        <f t="shared" si="17"/>
        <v>763593</v>
      </c>
    </row>
    <row r="603" spans="1:5" ht="11.25">
      <c r="A603" s="9">
        <v>831500</v>
      </c>
      <c r="B603" s="2" t="s">
        <v>440</v>
      </c>
      <c r="C603" s="2">
        <f>SUM(C604:C605)</f>
        <v>0</v>
      </c>
      <c r="D603" s="2">
        <f>SUM(D604:D605)</f>
        <v>91881</v>
      </c>
      <c r="E603" s="2">
        <f t="shared" si="17"/>
        <v>91881</v>
      </c>
    </row>
    <row r="604" spans="1:5" ht="11.25">
      <c r="A604" s="9">
        <v>831507</v>
      </c>
      <c r="B604" s="18" t="s">
        <v>66</v>
      </c>
      <c r="C604" s="18">
        <v>0</v>
      </c>
      <c r="D604" s="18">
        <v>50178</v>
      </c>
      <c r="E604" s="18">
        <f t="shared" si="17"/>
        <v>50178</v>
      </c>
    </row>
    <row r="605" spans="1:5" ht="11.25">
      <c r="A605" s="9">
        <v>831535</v>
      </c>
      <c r="B605" s="18" t="s">
        <v>441</v>
      </c>
      <c r="C605" s="18">
        <v>0</v>
      </c>
      <c r="D605" s="18">
        <v>41703</v>
      </c>
      <c r="E605" s="18">
        <f t="shared" si="17"/>
        <v>41703</v>
      </c>
    </row>
    <row r="606" spans="1:5" ht="11.25">
      <c r="A606" s="9">
        <v>831600</v>
      </c>
      <c r="B606" s="2" t="s">
        <v>142</v>
      </c>
      <c r="C606" s="18"/>
      <c r="D606" s="2">
        <f>+D607</f>
        <v>49529</v>
      </c>
      <c r="E606" s="2">
        <f t="shared" si="17"/>
        <v>49529</v>
      </c>
    </row>
    <row r="607" spans="1:5" ht="11.25">
      <c r="A607" s="9">
        <v>831690</v>
      </c>
      <c r="B607" s="18" t="s">
        <v>442</v>
      </c>
      <c r="C607" s="18"/>
      <c r="D607" s="18">
        <v>49529</v>
      </c>
      <c r="E607" s="18">
        <f t="shared" si="17"/>
        <v>49529</v>
      </c>
    </row>
    <row r="608" spans="1:5" ht="11.25">
      <c r="A608" s="9">
        <v>833000</v>
      </c>
      <c r="B608" s="2" t="s">
        <v>577</v>
      </c>
      <c r="C608" s="18"/>
      <c r="D608" s="2">
        <f>SUM(D609:D610)</f>
        <v>600160</v>
      </c>
      <c r="E608" s="2">
        <f>+C608+D608</f>
        <v>600160</v>
      </c>
    </row>
    <row r="609" spans="1:5" ht="11.25">
      <c r="A609" s="9">
        <v>833008</v>
      </c>
      <c r="B609" s="18" t="s">
        <v>101</v>
      </c>
      <c r="C609" s="18"/>
      <c r="D609" s="18">
        <v>349245</v>
      </c>
      <c r="E609" s="18">
        <f>+C609+D609</f>
        <v>349245</v>
      </c>
    </row>
    <row r="610" spans="1:5" ht="11.25">
      <c r="A610" s="9">
        <v>833013</v>
      </c>
      <c r="B610" s="18" t="s">
        <v>361</v>
      </c>
      <c r="C610" s="18"/>
      <c r="D610" s="18">
        <v>250915</v>
      </c>
      <c r="E610" s="18">
        <f>+C610+D610</f>
        <v>250915</v>
      </c>
    </row>
    <row r="611" spans="1:5" ht="11.25">
      <c r="A611" s="9">
        <v>839000</v>
      </c>
      <c r="B611" s="2" t="s">
        <v>443</v>
      </c>
      <c r="C611" s="2">
        <f>+C612</f>
        <v>0</v>
      </c>
      <c r="D611" s="2">
        <f>+D612</f>
        <v>22023</v>
      </c>
      <c r="E611" s="2">
        <f t="shared" si="17"/>
        <v>22023</v>
      </c>
    </row>
    <row r="612" spans="1:5" ht="11.25">
      <c r="A612" s="9">
        <v>839090</v>
      </c>
      <c r="B612" s="18" t="s">
        <v>444</v>
      </c>
      <c r="C612" s="18">
        <v>0</v>
      </c>
      <c r="D612" s="18">
        <v>22023</v>
      </c>
      <c r="E612" s="18">
        <f t="shared" si="17"/>
        <v>22023</v>
      </c>
    </row>
    <row r="613" spans="1:5" s="26" customFormat="1" ht="11.25">
      <c r="A613" s="9">
        <v>890000</v>
      </c>
      <c r="B613" s="2" t="s">
        <v>445</v>
      </c>
      <c r="C613" s="2">
        <f>+C614</f>
        <v>0</v>
      </c>
      <c r="D613" s="2">
        <f>+D614</f>
        <v>-763593</v>
      </c>
      <c r="E613" s="2">
        <f t="shared" si="17"/>
        <v>-763593</v>
      </c>
    </row>
    <row r="614" spans="1:5" ht="11.25">
      <c r="A614" s="9">
        <v>891500</v>
      </c>
      <c r="B614" s="2" t="s">
        <v>446</v>
      </c>
      <c r="C614" s="2">
        <f>SUM(C615:C618)</f>
        <v>0</v>
      </c>
      <c r="D614" s="2">
        <f>SUM(D615:D618)</f>
        <v>-763593</v>
      </c>
      <c r="E614" s="2">
        <f t="shared" si="17"/>
        <v>-763593</v>
      </c>
    </row>
    <row r="615" spans="1:5" ht="11.25">
      <c r="A615" s="9">
        <v>891506</v>
      </c>
      <c r="B615" s="18" t="s">
        <v>447</v>
      </c>
      <c r="C615" s="18">
        <v>0</v>
      </c>
      <c r="D615" s="18">
        <f>-41703-50178</f>
        <v>-91881</v>
      </c>
      <c r="E615" s="18">
        <f t="shared" si="17"/>
        <v>-91881</v>
      </c>
    </row>
    <row r="616" spans="1:5" ht="11.25">
      <c r="A616" s="9">
        <v>891507</v>
      </c>
      <c r="B616" s="18" t="s">
        <v>448</v>
      </c>
      <c r="C616" s="18">
        <v>0</v>
      </c>
      <c r="D616" s="18">
        <v>-49529</v>
      </c>
      <c r="E616" s="18">
        <f t="shared" si="17"/>
        <v>-49529</v>
      </c>
    </row>
    <row r="617" spans="1:5" ht="11.25">
      <c r="A617" s="9">
        <v>891511</v>
      </c>
      <c r="B617" s="18" t="s">
        <v>578</v>
      </c>
      <c r="C617" s="18">
        <v>0</v>
      </c>
      <c r="D617" s="18">
        <v>-600160</v>
      </c>
      <c r="E617" s="18">
        <f>+C617+D617</f>
        <v>-600160</v>
      </c>
    </row>
    <row r="618" spans="1:5" ht="11.25">
      <c r="A618" s="9">
        <v>891590</v>
      </c>
      <c r="B618" s="18" t="s">
        <v>449</v>
      </c>
      <c r="C618" s="18">
        <v>0</v>
      </c>
      <c r="D618" s="18">
        <v>-22023</v>
      </c>
      <c r="E618" s="18">
        <f t="shared" si="17"/>
        <v>-22023</v>
      </c>
    </row>
    <row r="619" spans="1:5" ht="11.25">
      <c r="A619" s="9">
        <v>900000</v>
      </c>
      <c r="B619" s="2" t="s">
        <v>450</v>
      </c>
      <c r="C619" s="2">
        <f>+C620+C627+C631</f>
        <v>0</v>
      </c>
      <c r="D619" s="2">
        <f>+D620+D627+D631</f>
        <v>0</v>
      </c>
      <c r="E619" s="2">
        <f t="shared" si="17"/>
        <v>0</v>
      </c>
    </row>
    <row r="620" spans="1:5" ht="11.25">
      <c r="A620" s="9">
        <v>910000</v>
      </c>
      <c r="B620" s="2" t="s">
        <v>451</v>
      </c>
      <c r="C620" s="2">
        <f>+C621+C623+C625</f>
        <v>0</v>
      </c>
      <c r="D620" s="2">
        <f>+D621+D623+D625</f>
        <v>337810081</v>
      </c>
      <c r="E620" s="2">
        <f t="shared" si="17"/>
        <v>337810081</v>
      </c>
    </row>
    <row r="621" spans="1:5" ht="11.25">
      <c r="A621" s="9">
        <v>912000</v>
      </c>
      <c r="B621" s="2" t="s">
        <v>452</v>
      </c>
      <c r="C621" s="2">
        <f>+C622</f>
        <v>0</v>
      </c>
      <c r="D621" s="2">
        <f>+D622</f>
        <v>176406100</v>
      </c>
      <c r="E621" s="2">
        <f t="shared" si="17"/>
        <v>176406100</v>
      </c>
    </row>
    <row r="622" spans="1:5" ht="11.25">
      <c r="A622" s="9">
        <v>912002</v>
      </c>
      <c r="B622" s="18" t="s">
        <v>453</v>
      </c>
      <c r="C622" s="18">
        <v>0</v>
      </c>
      <c r="D622" s="18">
        <v>176406100</v>
      </c>
      <c r="E622" s="18">
        <f t="shared" si="17"/>
        <v>176406100</v>
      </c>
    </row>
    <row r="623" spans="1:5" ht="11.25">
      <c r="A623" s="9">
        <v>913500</v>
      </c>
      <c r="B623" s="2" t="s">
        <v>454</v>
      </c>
      <c r="C623" s="2">
        <f>SUM(C624)</f>
        <v>0</v>
      </c>
      <c r="D623" s="2">
        <f>SUM(D624)</f>
        <v>161403981</v>
      </c>
      <c r="E623" s="2">
        <f t="shared" si="17"/>
        <v>161403981</v>
      </c>
    </row>
    <row r="624" spans="1:5" ht="11.25">
      <c r="A624" s="9">
        <v>913503</v>
      </c>
      <c r="B624" s="18" t="s">
        <v>455</v>
      </c>
      <c r="C624" s="18">
        <v>0</v>
      </c>
      <c r="D624" s="18">
        <f>160940124+368001+95856</f>
        <v>161403981</v>
      </c>
      <c r="E624" s="18">
        <f t="shared" si="17"/>
        <v>161403981</v>
      </c>
    </row>
    <row r="625" spans="1:5" ht="11.25">
      <c r="A625" s="9">
        <v>919000</v>
      </c>
      <c r="B625" s="2" t="s">
        <v>456</v>
      </c>
      <c r="C625" s="2">
        <f>+C626</f>
        <v>0</v>
      </c>
      <c r="D625" s="2">
        <f>+D626</f>
        <v>0</v>
      </c>
      <c r="E625" s="2">
        <f t="shared" si="17"/>
        <v>0</v>
      </c>
    </row>
    <row r="626" spans="1:5" ht="11.25">
      <c r="A626" s="9">
        <v>919090</v>
      </c>
      <c r="B626" s="18" t="s">
        <v>457</v>
      </c>
      <c r="C626" s="18">
        <v>0</v>
      </c>
      <c r="D626" s="18">
        <v>0</v>
      </c>
      <c r="E626" s="18">
        <f t="shared" si="17"/>
        <v>0</v>
      </c>
    </row>
    <row r="627" spans="1:5" ht="11.25">
      <c r="A627" s="9">
        <v>930000</v>
      </c>
      <c r="B627" s="2" t="s">
        <v>458</v>
      </c>
      <c r="C627" s="2">
        <f>+C628</f>
        <v>0</v>
      </c>
      <c r="D627" s="2">
        <f>+D628</f>
        <v>0</v>
      </c>
      <c r="E627" s="2">
        <f t="shared" si="17"/>
        <v>0</v>
      </c>
    </row>
    <row r="628" spans="1:5" ht="11.25">
      <c r="A628" s="9">
        <v>939000</v>
      </c>
      <c r="B628" s="2" t="s">
        <v>459</v>
      </c>
      <c r="C628" s="2">
        <f>SUM(C629:C630)</f>
        <v>0</v>
      </c>
      <c r="D628" s="2">
        <f>SUM(D629:D630)</f>
        <v>0</v>
      </c>
      <c r="E628" s="2">
        <f aca="true" t="shared" si="19" ref="E628:E668">+C628+D628</f>
        <v>0</v>
      </c>
    </row>
    <row r="629" spans="1:5" ht="11.25">
      <c r="A629" s="9">
        <v>939002</v>
      </c>
      <c r="B629" s="18" t="s">
        <v>460</v>
      </c>
      <c r="C629" s="18">
        <v>0</v>
      </c>
      <c r="D629" s="18">
        <v>0</v>
      </c>
      <c r="E629" s="18">
        <f t="shared" si="19"/>
        <v>0</v>
      </c>
    </row>
    <row r="630" spans="1:5" ht="11.25">
      <c r="A630" s="9">
        <v>939090</v>
      </c>
      <c r="B630" s="18" t="s">
        <v>461</v>
      </c>
      <c r="C630" s="18">
        <v>0</v>
      </c>
      <c r="D630" s="18">
        <v>0</v>
      </c>
      <c r="E630" s="18">
        <f t="shared" si="19"/>
        <v>0</v>
      </c>
    </row>
    <row r="631" spans="1:5" ht="11.25">
      <c r="A631" s="9">
        <v>990000</v>
      </c>
      <c r="B631" s="2" t="s">
        <v>462</v>
      </c>
      <c r="C631" s="2">
        <f>+C632+C636</f>
        <v>0</v>
      </c>
      <c r="D631" s="2">
        <f>+D632+D636</f>
        <v>-337810081</v>
      </c>
      <c r="E631" s="2">
        <f t="shared" si="19"/>
        <v>-337810081</v>
      </c>
    </row>
    <row r="632" spans="1:5" ht="11.25">
      <c r="A632" s="9">
        <v>990500</v>
      </c>
      <c r="B632" s="2" t="s">
        <v>463</v>
      </c>
      <c r="C632" s="2">
        <f>SUM(C633:C635)</f>
        <v>0</v>
      </c>
      <c r="D632" s="2">
        <f>SUM(D633:D635)</f>
        <v>-337810081</v>
      </c>
      <c r="E632" s="2">
        <f t="shared" si="19"/>
        <v>-337810081</v>
      </c>
    </row>
    <row r="633" spans="1:5" ht="11.25">
      <c r="A633" s="9">
        <v>990505</v>
      </c>
      <c r="B633" s="18" t="s">
        <v>464</v>
      </c>
      <c r="C633" s="18">
        <v>0</v>
      </c>
      <c r="D633" s="18">
        <v>-176406100</v>
      </c>
      <c r="E633" s="18">
        <f t="shared" si="19"/>
        <v>-176406100</v>
      </c>
    </row>
    <row r="634" spans="1:5" ht="11.25">
      <c r="A634" s="9">
        <v>990508</v>
      </c>
      <c r="B634" s="18" t="s">
        <v>465</v>
      </c>
      <c r="C634" s="18">
        <f>-C623</f>
        <v>0</v>
      </c>
      <c r="D634" s="18">
        <f>-160940124-368001-95856</f>
        <v>-161403981</v>
      </c>
      <c r="E634" s="18">
        <f t="shared" si="19"/>
        <v>-161403981</v>
      </c>
    </row>
    <row r="635" spans="1:5" ht="11.25">
      <c r="A635" s="9">
        <v>990590</v>
      </c>
      <c r="B635" s="18" t="s">
        <v>461</v>
      </c>
      <c r="C635" s="18">
        <v>0</v>
      </c>
      <c r="D635" s="18">
        <v>0</v>
      </c>
      <c r="E635" s="18">
        <f t="shared" si="19"/>
        <v>0</v>
      </c>
    </row>
    <row r="636" spans="1:5" ht="11.25">
      <c r="A636" s="9">
        <v>991500</v>
      </c>
      <c r="B636" s="2" t="s">
        <v>463</v>
      </c>
      <c r="C636" s="2">
        <f>C637</f>
        <v>0</v>
      </c>
      <c r="D636" s="2">
        <f>D637</f>
        <v>0</v>
      </c>
      <c r="E636" s="2">
        <f t="shared" si="19"/>
        <v>0</v>
      </c>
    </row>
    <row r="637" spans="1:5" ht="11.25">
      <c r="A637" s="9">
        <v>991590</v>
      </c>
      <c r="B637" s="18" t="s">
        <v>461</v>
      </c>
      <c r="C637" s="18">
        <f>-C630-C629</f>
        <v>0</v>
      </c>
      <c r="D637" s="18">
        <v>0</v>
      </c>
      <c r="E637" s="18">
        <f t="shared" si="19"/>
        <v>0</v>
      </c>
    </row>
    <row r="638" spans="1:5" ht="11.25">
      <c r="A638" s="35">
        <v>0</v>
      </c>
      <c r="B638" s="35" t="s">
        <v>466</v>
      </c>
      <c r="C638" s="2">
        <f>+C648+C763</f>
        <v>0</v>
      </c>
      <c r="D638" s="2">
        <f>+D648+D763+D639</f>
        <v>0</v>
      </c>
      <c r="E638" s="2">
        <f t="shared" si="19"/>
        <v>0</v>
      </c>
    </row>
    <row r="639" spans="1:5" ht="11.25">
      <c r="A639" s="35">
        <v>20000</v>
      </c>
      <c r="B639" s="35" t="s">
        <v>615</v>
      </c>
      <c r="C639" s="2"/>
      <c r="D639" s="2">
        <f>+D640+D642+D644+D646</f>
        <v>0</v>
      </c>
      <c r="E639" s="2">
        <f aca="true" t="shared" si="20" ref="E639:E647">SUM(C639:D639)</f>
        <v>0</v>
      </c>
    </row>
    <row r="640" spans="1:6" ht="11.25">
      <c r="A640" s="35">
        <v>20100</v>
      </c>
      <c r="B640" s="35" t="s">
        <v>616</v>
      </c>
      <c r="C640" s="2"/>
      <c r="D640" s="2">
        <f>+D641</f>
        <v>4626514</v>
      </c>
      <c r="E640" s="2">
        <f t="shared" si="20"/>
        <v>4626514</v>
      </c>
      <c r="F640" s="18"/>
    </row>
    <row r="641" spans="1:6" ht="11.25">
      <c r="A641" s="35">
        <v>20147</v>
      </c>
      <c r="B641" s="49" t="s">
        <v>617</v>
      </c>
      <c r="C641" s="2"/>
      <c r="D641" s="18">
        <v>4626514</v>
      </c>
      <c r="E641" s="18">
        <f t="shared" si="20"/>
        <v>4626514</v>
      </c>
      <c r="F641" s="18"/>
    </row>
    <row r="642" spans="1:6" ht="11.25">
      <c r="A642" s="35">
        <v>21100</v>
      </c>
      <c r="B642" s="35" t="s">
        <v>618</v>
      </c>
      <c r="C642" s="2"/>
      <c r="D642" s="2">
        <f>+D643</f>
        <v>-4275185</v>
      </c>
      <c r="E642" s="2">
        <f t="shared" si="20"/>
        <v>-4275185</v>
      </c>
      <c r="F642" s="18"/>
    </row>
    <row r="643" spans="1:5" ht="11.25">
      <c r="A643" s="35">
        <v>21147</v>
      </c>
      <c r="B643" s="49" t="s">
        <v>617</v>
      </c>
      <c r="C643" s="2"/>
      <c r="D643" s="18">
        <v>-4275185</v>
      </c>
      <c r="E643" s="18">
        <f t="shared" si="20"/>
        <v>-4275185</v>
      </c>
    </row>
    <row r="644" spans="1:5" ht="11.25">
      <c r="A644" s="35">
        <v>24100</v>
      </c>
      <c r="B644" s="35" t="s">
        <v>619</v>
      </c>
      <c r="C644" s="2"/>
      <c r="D644" s="2">
        <f>+D645</f>
        <v>-527863</v>
      </c>
      <c r="E644" s="2">
        <f t="shared" si="20"/>
        <v>-527863</v>
      </c>
    </row>
    <row r="645" spans="1:5" ht="11.25">
      <c r="A645" s="35">
        <v>24102</v>
      </c>
      <c r="B645" s="49" t="s">
        <v>620</v>
      </c>
      <c r="C645" s="2"/>
      <c r="D645" s="18">
        <v>-527863</v>
      </c>
      <c r="E645" s="18">
        <f t="shared" si="20"/>
        <v>-527863</v>
      </c>
    </row>
    <row r="646" spans="1:5" ht="11.25">
      <c r="A646" s="35">
        <v>24600</v>
      </c>
      <c r="B646" s="35" t="s">
        <v>621</v>
      </c>
      <c r="C646" s="2"/>
      <c r="D646" s="2">
        <f>+D647</f>
        <v>176534</v>
      </c>
      <c r="E646" s="2">
        <f t="shared" si="20"/>
        <v>176534</v>
      </c>
    </row>
    <row r="647" spans="1:5" ht="11.25">
      <c r="A647" s="35">
        <v>24647</v>
      </c>
      <c r="B647" s="49" t="s">
        <v>617</v>
      </c>
      <c r="C647" s="2"/>
      <c r="D647" s="18">
        <v>176534</v>
      </c>
      <c r="E647" s="18">
        <f t="shared" si="20"/>
        <v>176534</v>
      </c>
    </row>
    <row r="648" spans="1:5" ht="11.25">
      <c r="A648" s="35">
        <v>30000</v>
      </c>
      <c r="B648" s="19" t="s">
        <v>467</v>
      </c>
      <c r="C648" s="2">
        <f>+C649+C668+C687+C706+C725+C744</f>
        <v>0</v>
      </c>
      <c r="D648" s="2">
        <f>+D649+D668+D687+D706+D725+D744</f>
        <v>0</v>
      </c>
      <c r="E648" s="2">
        <f t="shared" si="19"/>
        <v>0</v>
      </c>
    </row>
    <row r="649" spans="1:5" ht="11.25">
      <c r="A649" s="35">
        <v>30500</v>
      </c>
      <c r="B649" s="2" t="s">
        <v>468</v>
      </c>
      <c r="C649" s="2">
        <f>SUM(C650:C666)</f>
        <v>0</v>
      </c>
      <c r="D649" s="2">
        <f>SUM(D650:D667)</f>
        <v>-11199668942</v>
      </c>
      <c r="E649" s="2">
        <f t="shared" si="19"/>
        <v>-11199668942</v>
      </c>
    </row>
    <row r="650" spans="1:6" ht="11.25">
      <c r="A650" s="35">
        <v>30511</v>
      </c>
      <c r="B650" s="18" t="s">
        <v>469</v>
      </c>
      <c r="C650" s="18">
        <v>0</v>
      </c>
      <c r="D650" s="48">
        <f>-12300017-599738</f>
        <v>-12899755</v>
      </c>
      <c r="E650" s="18">
        <f t="shared" si="19"/>
        <v>-12899755</v>
      </c>
      <c r="F650" s="18"/>
    </row>
    <row r="651" spans="1:6" ht="11.25">
      <c r="A651" s="35">
        <v>30512</v>
      </c>
      <c r="B651" s="18" t="s">
        <v>470</v>
      </c>
      <c r="C651" s="18">
        <v>0</v>
      </c>
      <c r="D651" s="48">
        <f>-3250964-1798428</f>
        <v>-5049392</v>
      </c>
      <c r="E651" s="18">
        <f t="shared" si="19"/>
        <v>-5049392</v>
      </c>
      <c r="F651" s="18"/>
    </row>
    <row r="652" spans="1:6" ht="11.25">
      <c r="A652" s="35">
        <v>30513</v>
      </c>
      <c r="B652" s="18" t="s">
        <v>471</v>
      </c>
      <c r="C652" s="18">
        <v>0</v>
      </c>
      <c r="D652" s="48">
        <f>-1381123-68074</f>
        <v>-1449197</v>
      </c>
      <c r="E652" s="18">
        <f t="shared" si="19"/>
        <v>-1449197</v>
      </c>
      <c r="F652" s="18"/>
    </row>
    <row r="653" spans="1:6" ht="11.25">
      <c r="A653" s="35">
        <v>30514</v>
      </c>
      <c r="B653" s="18" t="s">
        <v>472</v>
      </c>
      <c r="C653" s="18">
        <v>0</v>
      </c>
      <c r="D653" s="48">
        <f>-2040118-99834</f>
        <v>-2139952</v>
      </c>
      <c r="E653" s="18">
        <f t="shared" si="19"/>
        <v>-2139952</v>
      </c>
      <c r="F653" s="18"/>
    </row>
    <row r="654" spans="1:6" ht="11.25">
      <c r="A654" s="35">
        <v>30515</v>
      </c>
      <c r="B654" s="18" t="s">
        <v>473</v>
      </c>
      <c r="C654" s="18">
        <v>0</v>
      </c>
      <c r="D654" s="48">
        <f>-1230144-843768</f>
        <v>-2073912</v>
      </c>
      <c r="E654" s="18">
        <f t="shared" si="19"/>
        <v>-2073912</v>
      </c>
      <c r="F654" s="18"/>
    </row>
    <row r="655" spans="1:6" ht="11.25">
      <c r="A655" s="35">
        <v>30516</v>
      </c>
      <c r="B655" s="18" t="s">
        <v>474</v>
      </c>
      <c r="C655" s="18">
        <v>0</v>
      </c>
      <c r="D655" s="48">
        <f>-3508240-1166672</f>
        <v>-4674912</v>
      </c>
      <c r="E655" s="18">
        <f t="shared" si="19"/>
        <v>-4674912</v>
      </c>
      <c r="F655" s="18"/>
    </row>
    <row r="656" spans="1:6" ht="11.25">
      <c r="A656" s="35">
        <v>30517</v>
      </c>
      <c r="B656" s="18" t="s">
        <v>475</v>
      </c>
      <c r="C656" s="18">
        <v>0</v>
      </c>
      <c r="D656" s="48">
        <f>-89500-50000</f>
        <v>-139500</v>
      </c>
      <c r="E656" s="18">
        <f t="shared" si="19"/>
        <v>-139500</v>
      </c>
      <c r="F656" s="18"/>
    </row>
    <row r="657" spans="1:6" ht="11.25">
      <c r="A657" s="35">
        <v>30518</v>
      </c>
      <c r="B657" s="18" t="s">
        <v>476</v>
      </c>
      <c r="C657" s="18">
        <v>0</v>
      </c>
      <c r="D657" s="48">
        <v>0</v>
      </c>
      <c r="E657" s="18">
        <f t="shared" si="19"/>
        <v>0</v>
      </c>
      <c r="F657" s="18"/>
    </row>
    <row r="658" spans="1:6" ht="11.25">
      <c r="A658" s="35" t="s">
        <v>477</v>
      </c>
      <c r="B658" s="18" t="s">
        <v>478</v>
      </c>
      <c r="C658" s="18">
        <v>0</v>
      </c>
      <c r="D658" s="48">
        <v>-52877690</v>
      </c>
      <c r="E658" s="18">
        <f t="shared" si="19"/>
        <v>-52877690</v>
      </c>
      <c r="F658" s="18"/>
    </row>
    <row r="659" spans="1:6" ht="11.25">
      <c r="A659" s="35">
        <v>30521</v>
      </c>
      <c r="B659" s="18" t="s">
        <v>479</v>
      </c>
      <c r="C659" s="18">
        <v>0</v>
      </c>
      <c r="D659" s="48">
        <v>-811292252</v>
      </c>
      <c r="E659" s="18">
        <f t="shared" si="19"/>
        <v>-811292252</v>
      </c>
      <c r="F659" s="18"/>
    </row>
    <row r="660" spans="1:6" ht="11.25">
      <c r="A660" s="35">
        <v>30532</v>
      </c>
      <c r="B660" s="18" t="s">
        <v>480</v>
      </c>
      <c r="C660" s="18">
        <v>0</v>
      </c>
      <c r="D660" s="48">
        <v>-655555943</v>
      </c>
      <c r="E660" s="18">
        <f t="shared" si="19"/>
        <v>-655555943</v>
      </c>
      <c r="F660" s="18"/>
    </row>
    <row r="661" spans="1:6" ht="11.25">
      <c r="A661" s="35">
        <v>30534</v>
      </c>
      <c r="B661" s="18" t="s">
        <v>481</v>
      </c>
      <c r="C661" s="18">
        <v>0</v>
      </c>
      <c r="D661" s="48">
        <v>0</v>
      </c>
      <c r="E661" s="18">
        <f t="shared" si="19"/>
        <v>0</v>
      </c>
      <c r="F661" s="18"/>
    </row>
    <row r="662" spans="1:6" ht="11.25">
      <c r="A662" s="35">
        <v>30538</v>
      </c>
      <c r="B662" s="18" t="s">
        <v>482</v>
      </c>
      <c r="C662" s="18">
        <v>0</v>
      </c>
      <c r="D662" s="48">
        <v>-1515681661</v>
      </c>
      <c r="E662" s="18">
        <f t="shared" si="19"/>
        <v>-1515681661</v>
      </c>
      <c r="F662" s="18"/>
    </row>
    <row r="663" spans="1:6" ht="11.25">
      <c r="A663" s="35">
        <v>30543</v>
      </c>
      <c r="B663" s="18" t="s">
        <v>483</v>
      </c>
      <c r="C663" s="18">
        <v>0</v>
      </c>
      <c r="D663" s="48">
        <v>-6160975</v>
      </c>
      <c r="E663" s="18">
        <f t="shared" si="19"/>
        <v>-6160975</v>
      </c>
      <c r="F663" s="18"/>
    </row>
    <row r="664" spans="1:6" ht="11.25">
      <c r="A664" s="35">
        <v>30544</v>
      </c>
      <c r="B664" s="18" t="s">
        <v>484</v>
      </c>
      <c r="C664" s="18">
        <v>0</v>
      </c>
      <c r="D664" s="48">
        <v>-1113618</v>
      </c>
      <c r="E664" s="18">
        <f t="shared" si="19"/>
        <v>-1113618</v>
      </c>
      <c r="F664" s="18"/>
    </row>
    <row r="665" spans="1:6" ht="11.25">
      <c r="A665" s="35">
        <v>30546</v>
      </c>
      <c r="B665" s="18" t="s">
        <v>485</v>
      </c>
      <c r="C665" s="18">
        <v>0</v>
      </c>
      <c r="D665" s="48">
        <v>-7964342273</v>
      </c>
      <c r="E665" s="18">
        <f t="shared" si="19"/>
        <v>-7964342273</v>
      </c>
      <c r="F665" s="18"/>
    </row>
    <row r="666" spans="1:6" ht="11.25">
      <c r="A666" s="35">
        <v>30558</v>
      </c>
      <c r="B666" s="18" t="s">
        <v>486</v>
      </c>
      <c r="C666" s="18">
        <v>0</v>
      </c>
      <c r="D666" s="48">
        <v>-164217910</v>
      </c>
      <c r="E666" s="18">
        <f t="shared" si="19"/>
        <v>-164217910</v>
      </c>
      <c r="F666" s="18"/>
    </row>
    <row r="667" spans="1:5" ht="11.25">
      <c r="A667" s="35">
        <v>30591</v>
      </c>
      <c r="B667" s="18" t="s">
        <v>487</v>
      </c>
      <c r="C667" s="18">
        <v>0</v>
      </c>
      <c r="D667" s="18"/>
      <c r="E667" s="18">
        <f t="shared" si="19"/>
        <v>0</v>
      </c>
    </row>
    <row r="668" spans="1:5" ht="11.25">
      <c r="A668" s="35">
        <v>31000</v>
      </c>
      <c r="B668" s="2" t="s">
        <v>488</v>
      </c>
      <c r="C668" s="2">
        <f>SUM(C669:C685)</f>
        <v>0</v>
      </c>
      <c r="D668" s="2">
        <f>SUM(D669:D686)</f>
        <v>2916399</v>
      </c>
      <c r="E668" s="2">
        <f t="shared" si="19"/>
        <v>2916399</v>
      </c>
    </row>
    <row r="669" spans="1:5" ht="11.25">
      <c r="A669" s="35">
        <v>31011</v>
      </c>
      <c r="B669" s="18" t="s">
        <v>469</v>
      </c>
      <c r="C669" s="18">
        <v>0</v>
      </c>
      <c r="D669" s="18">
        <f>112544+45392</f>
        <v>157936</v>
      </c>
      <c r="E669" s="18">
        <f aca="true" t="shared" si="21" ref="E669:E700">+C669+D669</f>
        <v>157936</v>
      </c>
    </row>
    <row r="670" spans="1:5" ht="11.25">
      <c r="A670" s="35">
        <v>31012</v>
      </c>
      <c r="B670" s="18" t="s">
        <v>470</v>
      </c>
      <c r="C670" s="18">
        <v>0</v>
      </c>
      <c r="D670" s="18">
        <f>158072+146912</f>
        <v>304984</v>
      </c>
      <c r="E670" s="18">
        <f t="shared" si="21"/>
        <v>304984</v>
      </c>
    </row>
    <row r="671" spans="1:5" ht="11.25">
      <c r="A671" s="35">
        <v>31013</v>
      </c>
      <c r="B671" s="18" t="s">
        <v>471</v>
      </c>
      <c r="C671" s="18">
        <v>0</v>
      </c>
      <c r="D671" s="18">
        <f>98475</f>
        <v>98475</v>
      </c>
      <c r="E671" s="18">
        <f t="shared" si="21"/>
        <v>98475</v>
      </c>
    </row>
    <row r="672" spans="1:5" ht="11.25">
      <c r="A672" s="35">
        <v>31014</v>
      </c>
      <c r="B672" s="18" t="s">
        <v>472</v>
      </c>
      <c r="C672" s="18">
        <v>0</v>
      </c>
      <c r="D672" s="18">
        <f>20343+11815</f>
        <v>32158</v>
      </c>
      <c r="E672" s="18">
        <f t="shared" si="21"/>
        <v>32158</v>
      </c>
    </row>
    <row r="673" spans="1:5" ht="11.25">
      <c r="A673" s="35">
        <v>31015</v>
      </c>
      <c r="B673" s="18" t="s">
        <v>473</v>
      </c>
      <c r="C673" s="18">
        <v>0</v>
      </c>
      <c r="D673" s="18">
        <f>43000+33198</f>
        <v>76198</v>
      </c>
      <c r="E673" s="18">
        <f t="shared" si="21"/>
        <v>76198</v>
      </c>
    </row>
    <row r="674" spans="1:5" ht="11.25">
      <c r="A674" s="35">
        <v>31016</v>
      </c>
      <c r="B674" s="18" t="s">
        <v>474</v>
      </c>
      <c r="C674" s="18">
        <v>0</v>
      </c>
      <c r="D674" s="18">
        <f>23775+18769</f>
        <v>42544</v>
      </c>
      <c r="E674" s="18">
        <f t="shared" si="21"/>
        <v>42544</v>
      </c>
    </row>
    <row r="675" spans="1:5" ht="11.25">
      <c r="A675" s="35">
        <v>31017</v>
      </c>
      <c r="B675" s="18" t="s">
        <v>475</v>
      </c>
      <c r="C675" s="18">
        <v>0</v>
      </c>
      <c r="D675" s="18">
        <v>2394</v>
      </c>
      <c r="E675" s="18">
        <f t="shared" si="21"/>
        <v>2394</v>
      </c>
    </row>
    <row r="676" spans="1:5" ht="11.25">
      <c r="A676" s="35">
        <v>31018</v>
      </c>
      <c r="B676" s="18" t="s">
        <v>476</v>
      </c>
      <c r="C676" s="18">
        <v>0</v>
      </c>
      <c r="D676" s="18">
        <v>0</v>
      </c>
      <c r="E676" s="18">
        <f t="shared" si="21"/>
        <v>0</v>
      </c>
    </row>
    <row r="677" spans="1:5" ht="11.25">
      <c r="A677" s="35">
        <v>31020</v>
      </c>
      <c r="B677" s="18" t="s">
        <v>478</v>
      </c>
      <c r="C677" s="18">
        <v>0</v>
      </c>
      <c r="D677" s="18">
        <v>43</v>
      </c>
      <c r="E677" s="18">
        <f t="shared" si="21"/>
        <v>43</v>
      </c>
    </row>
    <row r="678" spans="1:5" ht="11.25">
      <c r="A678" s="35">
        <v>31021</v>
      </c>
      <c r="B678" s="18" t="s">
        <v>479</v>
      </c>
      <c r="C678" s="18">
        <v>0</v>
      </c>
      <c r="D678" s="18">
        <v>21614</v>
      </c>
      <c r="E678" s="18">
        <f t="shared" si="21"/>
        <v>21614</v>
      </c>
    </row>
    <row r="679" spans="1:5" ht="11.25">
      <c r="A679" s="35">
        <v>31032</v>
      </c>
      <c r="B679" s="18" t="s">
        <v>480</v>
      </c>
      <c r="C679" s="18">
        <v>0</v>
      </c>
      <c r="D679" s="18">
        <v>0</v>
      </c>
      <c r="E679" s="18">
        <f t="shared" si="21"/>
        <v>0</v>
      </c>
    </row>
    <row r="680" spans="1:5" ht="11.25">
      <c r="A680" s="35">
        <v>31034</v>
      </c>
      <c r="B680" s="18" t="s">
        <v>481</v>
      </c>
      <c r="C680" s="18">
        <v>0</v>
      </c>
      <c r="D680" s="18">
        <v>0</v>
      </c>
      <c r="E680" s="18">
        <f t="shared" si="21"/>
        <v>0</v>
      </c>
    </row>
    <row r="681" spans="1:5" ht="11.25">
      <c r="A681" s="35">
        <v>31038</v>
      </c>
      <c r="B681" s="18" t="s">
        <v>482</v>
      </c>
      <c r="C681" s="18">
        <v>0</v>
      </c>
      <c r="D681" s="18">
        <v>121165</v>
      </c>
      <c r="E681" s="18">
        <f t="shared" si="21"/>
        <v>121165</v>
      </c>
    </row>
    <row r="682" spans="1:5" ht="11.25">
      <c r="A682" s="35">
        <v>31043</v>
      </c>
      <c r="B682" s="18" t="s">
        <v>489</v>
      </c>
      <c r="C682" s="18">
        <v>0</v>
      </c>
      <c r="D682" s="18">
        <v>147</v>
      </c>
      <c r="E682" s="18">
        <f t="shared" si="21"/>
        <v>147</v>
      </c>
    </row>
    <row r="683" spans="1:5" ht="11.25">
      <c r="A683" s="35">
        <v>31044</v>
      </c>
      <c r="B683" s="18" t="s">
        <v>490</v>
      </c>
      <c r="C683" s="18">
        <v>0</v>
      </c>
      <c r="D683" s="18">
        <v>10608</v>
      </c>
      <c r="E683" s="18">
        <f t="shared" si="21"/>
        <v>10608</v>
      </c>
    </row>
    <row r="684" spans="1:5" ht="11.25">
      <c r="A684" s="35">
        <v>31046</v>
      </c>
      <c r="B684" s="18" t="s">
        <v>485</v>
      </c>
      <c r="C684" s="18">
        <v>0</v>
      </c>
      <c r="D684" s="18">
        <v>40576</v>
      </c>
      <c r="E684" s="18">
        <f t="shared" si="21"/>
        <v>40576</v>
      </c>
    </row>
    <row r="685" spans="1:5" ht="11.25">
      <c r="A685" s="35">
        <v>31058</v>
      </c>
      <c r="B685" s="18" t="s">
        <v>491</v>
      </c>
      <c r="C685" s="18">
        <v>0</v>
      </c>
      <c r="D685" s="18">
        <v>2007557</v>
      </c>
      <c r="E685" s="18">
        <f t="shared" si="21"/>
        <v>2007557</v>
      </c>
    </row>
    <row r="686" spans="1:5" ht="11.25">
      <c r="A686" s="35">
        <v>31091</v>
      </c>
      <c r="B686" s="18" t="s">
        <v>487</v>
      </c>
      <c r="C686" s="18">
        <v>0</v>
      </c>
      <c r="D686" s="18"/>
      <c r="E686" s="18">
        <f t="shared" si="21"/>
        <v>0</v>
      </c>
    </row>
    <row r="687" spans="1:5" ht="11.25">
      <c r="A687" s="35">
        <v>31200</v>
      </c>
      <c r="B687" s="2" t="s">
        <v>492</v>
      </c>
      <c r="C687" s="2">
        <f>SUM(C688:C703)</f>
        <v>0</v>
      </c>
      <c r="D687" s="2">
        <f>SUM(D688:D705)</f>
        <v>834938</v>
      </c>
      <c r="E687" s="2">
        <f t="shared" si="21"/>
        <v>834938</v>
      </c>
    </row>
    <row r="688" spans="1:5" ht="11.25">
      <c r="A688" s="35">
        <v>31211</v>
      </c>
      <c r="B688" s="18" t="s">
        <v>469</v>
      </c>
      <c r="C688" s="18">
        <v>0</v>
      </c>
      <c r="D688" s="18">
        <v>277702</v>
      </c>
      <c r="E688" s="18">
        <f t="shared" si="21"/>
        <v>277702</v>
      </c>
    </row>
    <row r="689" spans="1:5" ht="11.25">
      <c r="A689" s="35">
        <v>31212</v>
      </c>
      <c r="B689" s="18" t="s">
        <v>470</v>
      </c>
      <c r="C689" s="18">
        <v>0</v>
      </c>
      <c r="D689" s="18">
        <v>41597</v>
      </c>
      <c r="E689" s="18">
        <f t="shared" si="21"/>
        <v>41597</v>
      </c>
    </row>
    <row r="690" spans="1:5" ht="11.25">
      <c r="A690" s="35">
        <v>31213</v>
      </c>
      <c r="B690" s="18" t="s">
        <v>493</v>
      </c>
      <c r="C690" s="18">
        <v>0</v>
      </c>
      <c r="D690" s="18">
        <v>0</v>
      </c>
      <c r="E690" s="18">
        <f t="shared" si="21"/>
        <v>0</v>
      </c>
    </row>
    <row r="691" spans="1:5" ht="11.25">
      <c r="A691" s="35">
        <v>31214</v>
      </c>
      <c r="B691" s="18" t="s">
        <v>494</v>
      </c>
      <c r="C691" s="18">
        <v>0</v>
      </c>
      <c r="D691" s="18">
        <v>41399</v>
      </c>
      <c r="E691" s="18">
        <f t="shared" si="21"/>
        <v>41399</v>
      </c>
    </row>
    <row r="692" spans="1:5" ht="11.25">
      <c r="A692" s="35">
        <v>31215</v>
      </c>
      <c r="B692" s="18" t="s">
        <v>473</v>
      </c>
      <c r="C692" s="18">
        <v>0</v>
      </c>
      <c r="D692" s="18">
        <v>36096</v>
      </c>
      <c r="E692" s="18">
        <f t="shared" si="21"/>
        <v>36096</v>
      </c>
    </row>
    <row r="693" spans="1:5" ht="11.25">
      <c r="A693" s="35">
        <v>31216</v>
      </c>
      <c r="B693" s="18" t="s">
        <v>474</v>
      </c>
      <c r="C693" s="18">
        <v>0</v>
      </c>
      <c r="D693" s="18">
        <v>5987</v>
      </c>
      <c r="E693" s="18">
        <f t="shared" si="21"/>
        <v>5987</v>
      </c>
    </row>
    <row r="694" spans="1:5" ht="11.25">
      <c r="A694" s="35">
        <v>31217</v>
      </c>
      <c r="B694" s="18" t="s">
        <v>495</v>
      </c>
      <c r="C694" s="18">
        <v>0</v>
      </c>
      <c r="D694" s="18">
        <v>383</v>
      </c>
      <c r="E694" s="18">
        <f t="shared" si="21"/>
        <v>383</v>
      </c>
    </row>
    <row r="695" spans="1:5" ht="11.25">
      <c r="A695" s="35">
        <v>31218</v>
      </c>
      <c r="B695" s="18" t="s">
        <v>476</v>
      </c>
      <c r="C695" s="18">
        <v>0</v>
      </c>
      <c r="D695" s="18">
        <v>0</v>
      </c>
      <c r="E695" s="18">
        <f t="shared" si="21"/>
        <v>0</v>
      </c>
    </row>
    <row r="696" spans="1:5" ht="11.25">
      <c r="A696" s="35">
        <v>31220</v>
      </c>
      <c r="B696" s="18" t="s">
        <v>478</v>
      </c>
      <c r="C696" s="18">
        <v>0</v>
      </c>
      <c r="D696" s="18">
        <v>10956</v>
      </c>
      <c r="E696" s="18">
        <f t="shared" si="21"/>
        <v>10956</v>
      </c>
    </row>
    <row r="697" spans="1:5" ht="11.25">
      <c r="A697" s="35">
        <v>31221</v>
      </c>
      <c r="B697" s="18" t="s">
        <v>496</v>
      </c>
      <c r="C697" s="18">
        <v>0</v>
      </c>
      <c r="D697" s="18">
        <v>3529</v>
      </c>
      <c r="E697" s="18">
        <f t="shared" si="21"/>
        <v>3529</v>
      </c>
    </row>
    <row r="698" spans="1:5" ht="11.25">
      <c r="A698" s="35">
        <v>31232</v>
      </c>
      <c r="B698" s="18" t="s">
        <v>497</v>
      </c>
      <c r="C698" s="18">
        <v>0</v>
      </c>
      <c r="D698" s="18">
        <v>0</v>
      </c>
      <c r="E698" s="18">
        <f t="shared" si="21"/>
        <v>0</v>
      </c>
    </row>
    <row r="699" spans="1:5" ht="11.25">
      <c r="A699" s="35">
        <v>31234</v>
      </c>
      <c r="B699" s="18" t="s">
        <v>498</v>
      </c>
      <c r="C699" s="18">
        <v>0</v>
      </c>
      <c r="D699" s="18">
        <v>0</v>
      </c>
      <c r="E699" s="18">
        <f t="shared" si="21"/>
        <v>0</v>
      </c>
    </row>
    <row r="700" spans="1:5" ht="11.25">
      <c r="A700" s="35">
        <v>31238</v>
      </c>
      <c r="B700" s="18" t="s">
        <v>482</v>
      </c>
      <c r="C700" s="18">
        <v>0</v>
      </c>
      <c r="D700" s="18">
        <v>0</v>
      </c>
      <c r="E700" s="18">
        <f t="shared" si="21"/>
        <v>0</v>
      </c>
    </row>
    <row r="701" spans="1:5" ht="11.25">
      <c r="A701" s="35">
        <v>31243</v>
      </c>
      <c r="B701" s="18" t="s">
        <v>489</v>
      </c>
      <c r="C701" s="18">
        <v>0</v>
      </c>
      <c r="D701" s="18">
        <v>895</v>
      </c>
      <c r="E701" s="18">
        <f aca="true" t="shared" si="22" ref="E701:E732">+C701+D701</f>
        <v>895</v>
      </c>
    </row>
    <row r="702" spans="1:5" ht="11.25">
      <c r="A702" s="35">
        <v>31244</v>
      </c>
      <c r="B702" s="18" t="s">
        <v>490</v>
      </c>
      <c r="C702" s="18">
        <v>0</v>
      </c>
      <c r="D702" s="18">
        <v>54480</v>
      </c>
      <c r="E702" s="18">
        <f t="shared" si="22"/>
        <v>54480</v>
      </c>
    </row>
    <row r="703" spans="1:5" ht="11.25">
      <c r="A703" s="35">
        <v>31246</v>
      </c>
      <c r="B703" s="18" t="s">
        <v>485</v>
      </c>
      <c r="C703" s="18">
        <v>0</v>
      </c>
      <c r="D703" s="18">
        <v>0</v>
      </c>
      <c r="E703" s="18">
        <f t="shared" si="22"/>
        <v>0</v>
      </c>
    </row>
    <row r="704" spans="1:5" ht="11.25">
      <c r="A704" s="35">
        <v>31258</v>
      </c>
      <c r="B704" s="18" t="s">
        <v>499</v>
      </c>
      <c r="C704" s="18">
        <v>0</v>
      </c>
      <c r="D704" s="18">
        <v>361914</v>
      </c>
      <c r="E704" s="18">
        <f t="shared" si="22"/>
        <v>361914</v>
      </c>
    </row>
    <row r="705" spans="1:5" ht="11.25">
      <c r="A705" s="35">
        <v>31291</v>
      </c>
      <c r="B705" s="18" t="s">
        <v>487</v>
      </c>
      <c r="C705" s="18">
        <v>0</v>
      </c>
      <c r="D705" s="18"/>
      <c r="E705" s="18">
        <f t="shared" si="22"/>
        <v>0</v>
      </c>
    </row>
    <row r="706" spans="1:5" ht="11.25">
      <c r="A706" s="35">
        <v>31500</v>
      </c>
      <c r="B706" s="2" t="s">
        <v>500</v>
      </c>
      <c r="C706" s="2">
        <f>SUM(C707:C724)</f>
        <v>0</v>
      </c>
      <c r="D706" s="2">
        <f>SUM(D707:D724)</f>
        <v>161805402</v>
      </c>
      <c r="E706" s="2">
        <f t="shared" si="22"/>
        <v>161805402</v>
      </c>
    </row>
    <row r="707" spans="1:5" ht="11.25">
      <c r="A707" s="35">
        <v>31511</v>
      </c>
      <c r="B707" s="18" t="s">
        <v>469</v>
      </c>
      <c r="C707" s="18">
        <v>0</v>
      </c>
      <c r="D707" s="18">
        <v>20030</v>
      </c>
      <c r="E707" s="18">
        <f t="shared" si="22"/>
        <v>20030</v>
      </c>
    </row>
    <row r="708" spans="1:5" ht="11.25">
      <c r="A708" s="35">
        <v>31512</v>
      </c>
      <c r="B708" s="18" t="s">
        <v>470</v>
      </c>
      <c r="C708" s="18">
        <v>0</v>
      </c>
      <c r="D708" s="18">
        <f>770436+95515</f>
        <v>865951</v>
      </c>
      <c r="E708" s="18">
        <f t="shared" si="22"/>
        <v>865951</v>
      </c>
    </row>
    <row r="709" spans="1:5" ht="11.25">
      <c r="A709" s="35">
        <v>31513</v>
      </c>
      <c r="B709" s="18" t="s">
        <v>501</v>
      </c>
      <c r="C709" s="18">
        <v>0</v>
      </c>
      <c r="D709" s="18">
        <v>0</v>
      </c>
      <c r="E709" s="18">
        <f t="shared" si="22"/>
        <v>0</v>
      </c>
    </row>
    <row r="710" spans="1:5" ht="11.25">
      <c r="A710" s="35">
        <v>31514</v>
      </c>
      <c r="B710" s="18" t="s">
        <v>502</v>
      </c>
      <c r="C710" s="18">
        <v>0</v>
      </c>
      <c r="D710" s="18">
        <v>14652</v>
      </c>
      <c r="E710" s="18">
        <f t="shared" si="22"/>
        <v>14652</v>
      </c>
    </row>
    <row r="711" spans="1:5" ht="11.25">
      <c r="A711" s="35">
        <v>31515</v>
      </c>
      <c r="B711" s="18" t="s">
        <v>473</v>
      </c>
      <c r="C711" s="18">
        <v>0</v>
      </c>
      <c r="D711" s="18">
        <f>144178+124963</f>
        <v>269141</v>
      </c>
      <c r="E711" s="18">
        <f t="shared" si="22"/>
        <v>269141</v>
      </c>
    </row>
    <row r="712" spans="1:5" ht="11.25">
      <c r="A712" s="35">
        <v>31516</v>
      </c>
      <c r="B712" s="18" t="s">
        <v>503</v>
      </c>
      <c r="C712" s="18">
        <v>0</v>
      </c>
      <c r="D712" s="18">
        <f>642206+69744</f>
        <v>711950</v>
      </c>
      <c r="E712" s="18">
        <f t="shared" si="22"/>
        <v>711950</v>
      </c>
    </row>
    <row r="713" spans="1:5" ht="11.25">
      <c r="A713" s="35">
        <v>31517</v>
      </c>
      <c r="B713" s="18" t="s">
        <v>475</v>
      </c>
      <c r="C713" s="18">
        <v>0</v>
      </c>
      <c r="D713" s="18">
        <f>60+41688</f>
        <v>41748</v>
      </c>
      <c r="E713" s="18">
        <f t="shared" si="22"/>
        <v>41748</v>
      </c>
    </row>
    <row r="714" spans="1:5" ht="11.25">
      <c r="A714" s="35">
        <v>31518</v>
      </c>
      <c r="B714" s="18" t="s">
        <v>504</v>
      </c>
      <c r="C714" s="18">
        <v>0</v>
      </c>
      <c r="D714" s="18"/>
      <c r="E714" s="18">
        <f t="shared" si="22"/>
        <v>0</v>
      </c>
    </row>
    <row r="715" spans="1:5" ht="11.25">
      <c r="A715" s="35">
        <v>31520</v>
      </c>
      <c r="B715" s="18" t="s">
        <v>478</v>
      </c>
      <c r="C715" s="18">
        <v>0</v>
      </c>
      <c r="D715" s="18">
        <v>90192</v>
      </c>
      <c r="E715" s="18">
        <f t="shared" si="22"/>
        <v>90192</v>
      </c>
    </row>
    <row r="716" spans="1:5" ht="11.25">
      <c r="A716" s="35">
        <v>31521</v>
      </c>
      <c r="B716" s="18" t="s">
        <v>505</v>
      </c>
      <c r="C716" s="18">
        <v>0</v>
      </c>
      <c r="D716" s="18">
        <v>2907</v>
      </c>
      <c r="E716" s="18">
        <f t="shared" si="22"/>
        <v>2907</v>
      </c>
    </row>
    <row r="717" spans="1:5" ht="11.25">
      <c r="A717" s="35">
        <v>31532</v>
      </c>
      <c r="B717" s="18" t="s">
        <v>506</v>
      </c>
      <c r="C717" s="18">
        <v>0</v>
      </c>
      <c r="D717" s="18">
        <v>49609158</v>
      </c>
      <c r="E717" s="18">
        <f t="shared" si="22"/>
        <v>49609158</v>
      </c>
    </row>
    <row r="718" spans="1:5" ht="11.25">
      <c r="A718" s="35">
        <v>31534</v>
      </c>
      <c r="B718" s="18" t="s">
        <v>481</v>
      </c>
      <c r="C718" s="18">
        <v>0</v>
      </c>
      <c r="D718" s="18">
        <v>0</v>
      </c>
      <c r="E718" s="18">
        <f t="shared" si="22"/>
        <v>0</v>
      </c>
    </row>
    <row r="719" spans="1:5" ht="11.25">
      <c r="A719" s="35">
        <v>31538</v>
      </c>
      <c r="B719" s="18" t="s">
        <v>507</v>
      </c>
      <c r="C719" s="18">
        <v>0</v>
      </c>
      <c r="D719" s="18">
        <v>0</v>
      </c>
      <c r="E719" s="18">
        <f t="shared" si="22"/>
        <v>0</v>
      </c>
    </row>
    <row r="720" spans="1:5" ht="11.25">
      <c r="A720" s="35">
        <v>31543</v>
      </c>
      <c r="B720" s="18" t="s">
        <v>489</v>
      </c>
      <c r="C720" s="18">
        <v>0</v>
      </c>
      <c r="D720" s="18">
        <v>442361</v>
      </c>
      <c r="E720" s="18">
        <f t="shared" si="22"/>
        <v>442361</v>
      </c>
    </row>
    <row r="721" spans="1:5" ht="11.25">
      <c r="A721" s="35">
        <v>31544</v>
      </c>
      <c r="B721" s="18" t="s">
        <v>508</v>
      </c>
      <c r="C721" s="18">
        <v>0</v>
      </c>
      <c r="D721" s="18">
        <v>78299</v>
      </c>
      <c r="E721" s="18">
        <f t="shared" si="22"/>
        <v>78299</v>
      </c>
    </row>
    <row r="722" spans="1:5" ht="11.25">
      <c r="A722" s="35">
        <v>31546</v>
      </c>
      <c r="B722" s="18" t="s">
        <v>509</v>
      </c>
      <c r="C722" s="18">
        <v>0</v>
      </c>
      <c r="D722" s="18">
        <v>0</v>
      </c>
      <c r="E722" s="18">
        <f t="shared" si="22"/>
        <v>0</v>
      </c>
    </row>
    <row r="723" spans="1:5" ht="11.25">
      <c r="A723" s="35">
        <v>31558</v>
      </c>
      <c r="B723" s="18" t="s">
        <v>486</v>
      </c>
      <c r="C723" s="18">
        <v>0</v>
      </c>
      <c r="D723" s="18">
        <v>109659013</v>
      </c>
      <c r="E723" s="18">
        <f t="shared" si="22"/>
        <v>109659013</v>
      </c>
    </row>
    <row r="724" spans="1:5" ht="11.25">
      <c r="A724" s="35">
        <v>31591</v>
      </c>
      <c r="B724" s="18" t="s">
        <v>487</v>
      </c>
      <c r="C724" s="18">
        <v>0</v>
      </c>
      <c r="D724" s="18"/>
      <c r="E724" s="18">
        <f t="shared" si="22"/>
        <v>0</v>
      </c>
    </row>
    <row r="725" spans="1:5" ht="11.25">
      <c r="A725" s="35">
        <v>32200</v>
      </c>
      <c r="B725" s="2" t="s">
        <v>510</v>
      </c>
      <c r="C725" s="2">
        <f>SUM(C726:C733)</f>
        <v>0</v>
      </c>
      <c r="D725" s="2">
        <f>SUM(D726:D743)</f>
        <v>230272772</v>
      </c>
      <c r="E725" s="2">
        <f t="shared" si="22"/>
        <v>230272772</v>
      </c>
    </row>
    <row r="726" spans="1:5" ht="11.25">
      <c r="A726" s="35">
        <v>32211</v>
      </c>
      <c r="B726" s="18" t="s">
        <v>469</v>
      </c>
      <c r="C726" s="18">
        <v>0</v>
      </c>
      <c r="D726" s="18">
        <v>554346</v>
      </c>
      <c r="E726" s="18">
        <f t="shared" si="22"/>
        <v>554346</v>
      </c>
    </row>
    <row r="727" spans="1:5" ht="11.25">
      <c r="A727" s="35">
        <v>32212</v>
      </c>
      <c r="B727" s="18" t="s">
        <v>470</v>
      </c>
      <c r="C727" s="18">
        <v>0</v>
      </c>
      <c r="D727" s="18">
        <v>1596181</v>
      </c>
      <c r="E727" s="18">
        <f t="shared" si="22"/>
        <v>1596181</v>
      </c>
    </row>
    <row r="728" spans="1:5" ht="11.25">
      <c r="A728" s="35">
        <v>32213</v>
      </c>
      <c r="B728" s="18" t="s">
        <v>511</v>
      </c>
      <c r="C728" s="18">
        <v>0</v>
      </c>
      <c r="D728" s="18">
        <v>68074</v>
      </c>
      <c r="E728" s="18">
        <f t="shared" si="22"/>
        <v>68074</v>
      </c>
    </row>
    <row r="729" spans="1:5" ht="11.25">
      <c r="A729" s="35">
        <v>32214</v>
      </c>
      <c r="B729" s="18" t="s">
        <v>472</v>
      </c>
      <c r="C729" s="18">
        <v>0</v>
      </c>
      <c r="D729" s="18">
        <v>96684</v>
      </c>
      <c r="E729" s="18">
        <f t="shared" si="22"/>
        <v>96684</v>
      </c>
    </row>
    <row r="730" spans="1:5" ht="11.25">
      <c r="A730" s="35">
        <v>32215</v>
      </c>
      <c r="B730" s="18" t="s">
        <v>473</v>
      </c>
      <c r="C730" s="18">
        <v>0</v>
      </c>
      <c r="D730" s="18">
        <v>768977</v>
      </c>
      <c r="E730" s="18">
        <f t="shared" si="22"/>
        <v>768977</v>
      </c>
    </row>
    <row r="731" spans="1:5" ht="11.25">
      <c r="A731" s="35">
        <v>32216</v>
      </c>
      <c r="B731" s="18" t="s">
        <v>474</v>
      </c>
      <c r="C731" s="18">
        <v>0</v>
      </c>
      <c r="D731" s="18">
        <v>1104980</v>
      </c>
      <c r="E731" s="18">
        <f t="shared" si="22"/>
        <v>1104980</v>
      </c>
    </row>
    <row r="732" spans="1:5" ht="11.25">
      <c r="A732" s="35">
        <v>32217</v>
      </c>
      <c r="B732" s="18" t="s">
        <v>512</v>
      </c>
      <c r="C732" s="18">
        <v>0</v>
      </c>
      <c r="D732" s="18">
        <v>50000</v>
      </c>
      <c r="E732" s="18">
        <f t="shared" si="22"/>
        <v>50000</v>
      </c>
    </row>
    <row r="733" spans="1:5" ht="11.25">
      <c r="A733" s="35">
        <v>32218</v>
      </c>
      <c r="B733" s="18" t="s">
        <v>476</v>
      </c>
      <c r="C733" s="18">
        <v>0</v>
      </c>
      <c r="D733" s="18">
        <v>0</v>
      </c>
      <c r="E733" s="18">
        <f aca="true" t="shared" si="23" ref="E733:E783">+C733+D733</f>
        <v>0</v>
      </c>
    </row>
    <row r="734" spans="1:5" ht="11.25">
      <c r="A734" s="35">
        <v>32220</v>
      </c>
      <c r="B734" s="18" t="s">
        <v>478</v>
      </c>
      <c r="C734" s="18">
        <v>0</v>
      </c>
      <c r="D734" s="18">
        <v>27179</v>
      </c>
      <c r="E734" s="18">
        <f t="shared" si="23"/>
        <v>27179</v>
      </c>
    </row>
    <row r="735" spans="1:5" ht="11.25">
      <c r="A735" s="35">
        <v>32221</v>
      </c>
      <c r="B735" s="18" t="s">
        <v>496</v>
      </c>
      <c r="C735" s="18">
        <v>0</v>
      </c>
      <c r="D735" s="18">
        <v>0</v>
      </c>
      <c r="E735" s="18">
        <f t="shared" si="23"/>
        <v>0</v>
      </c>
    </row>
    <row r="736" spans="1:5" ht="11.25">
      <c r="A736" s="35">
        <v>32232</v>
      </c>
      <c r="B736" s="18" t="s">
        <v>480</v>
      </c>
      <c r="C736" s="18">
        <v>0</v>
      </c>
      <c r="D736" s="18">
        <v>0</v>
      </c>
      <c r="E736" s="18">
        <f t="shared" si="23"/>
        <v>0</v>
      </c>
    </row>
    <row r="737" spans="1:5" ht="11.25">
      <c r="A737" s="35">
        <v>32234</v>
      </c>
      <c r="B737" s="18" t="s">
        <v>481</v>
      </c>
      <c r="C737" s="18">
        <v>0</v>
      </c>
      <c r="D737" s="18">
        <v>0</v>
      </c>
      <c r="E737" s="18">
        <f t="shared" si="23"/>
        <v>0</v>
      </c>
    </row>
    <row r="738" spans="1:5" ht="11.25">
      <c r="A738" s="35">
        <v>32238</v>
      </c>
      <c r="B738" s="18" t="s">
        <v>482</v>
      </c>
      <c r="C738" s="18">
        <v>0</v>
      </c>
      <c r="D738" s="18">
        <v>224106684</v>
      </c>
      <c r="E738" s="18">
        <f t="shared" si="23"/>
        <v>224106684</v>
      </c>
    </row>
    <row r="739" spans="1:5" ht="11.25">
      <c r="A739" s="35">
        <v>32243</v>
      </c>
      <c r="B739" s="18" t="s">
        <v>489</v>
      </c>
      <c r="C739" s="18">
        <v>0</v>
      </c>
      <c r="D739" s="18">
        <v>10500</v>
      </c>
      <c r="E739" s="18">
        <f t="shared" si="23"/>
        <v>10500</v>
      </c>
    </row>
    <row r="740" spans="1:5" ht="11.25">
      <c r="A740" s="35">
        <v>32244</v>
      </c>
      <c r="B740" s="18" t="s">
        <v>513</v>
      </c>
      <c r="C740" s="18">
        <v>0</v>
      </c>
      <c r="D740" s="18">
        <v>3014</v>
      </c>
      <c r="E740" s="18">
        <f t="shared" si="23"/>
        <v>3014</v>
      </c>
    </row>
    <row r="741" spans="1:5" ht="11.25">
      <c r="A741" s="35">
        <v>32246</v>
      </c>
      <c r="B741" s="18" t="s">
        <v>509</v>
      </c>
      <c r="C741" s="18">
        <v>0</v>
      </c>
      <c r="D741" s="18">
        <v>0</v>
      </c>
      <c r="E741" s="18">
        <f t="shared" si="23"/>
        <v>0</v>
      </c>
    </row>
    <row r="742" spans="1:5" ht="11.25">
      <c r="A742" s="35">
        <v>32258</v>
      </c>
      <c r="B742" s="18" t="s">
        <v>499</v>
      </c>
      <c r="C742" s="18">
        <v>0</v>
      </c>
      <c r="D742" s="18">
        <v>1886153</v>
      </c>
      <c r="E742" s="18">
        <f t="shared" si="23"/>
        <v>1886153</v>
      </c>
    </row>
    <row r="743" spans="1:5" ht="11.25">
      <c r="A743" s="35">
        <v>32291</v>
      </c>
      <c r="B743" s="18" t="s">
        <v>487</v>
      </c>
      <c r="C743" s="18">
        <v>0</v>
      </c>
      <c r="D743" s="18"/>
      <c r="E743" s="18">
        <f t="shared" si="23"/>
        <v>0</v>
      </c>
    </row>
    <row r="744" spans="1:5" ht="11.25">
      <c r="A744" s="35">
        <v>33000</v>
      </c>
      <c r="B744" s="2" t="s">
        <v>514</v>
      </c>
      <c r="C744" s="2">
        <f>SUM(C745:C760)</f>
        <v>0</v>
      </c>
      <c r="D744" s="2">
        <f>SUM(D745:D762)</f>
        <v>10803839431</v>
      </c>
      <c r="E744" s="2">
        <f t="shared" si="23"/>
        <v>10803839431</v>
      </c>
    </row>
    <row r="745" spans="1:5" ht="11.25">
      <c r="A745" s="35">
        <v>33011</v>
      </c>
      <c r="B745" s="18" t="s">
        <v>469</v>
      </c>
      <c r="C745" s="18">
        <v>0</v>
      </c>
      <c r="D745" s="18">
        <f>11335395+554346</f>
        <v>11889741</v>
      </c>
      <c r="E745" s="18">
        <f t="shared" si="23"/>
        <v>11889741</v>
      </c>
    </row>
    <row r="746" spans="1:5" ht="11.25">
      <c r="A746" s="35">
        <v>33012</v>
      </c>
      <c r="B746" s="18" t="s">
        <v>470</v>
      </c>
      <c r="C746" s="18">
        <v>0</v>
      </c>
      <c r="D746" s="18">
        <f>684678+1556001</f>
        <v>2240679</v>
      </c>
      <c r="E746" s="18">
        <f t="shared" si="23"/>
        <v>2240679</v>
      </c>
    </row>
    <row r="747" spans="1:5" ht="11.25">
      <c r="A747" s="35">
        <v>33013</v>
      </c>
      <c r="B747" s="18" t="s">
        <v>511</v>
      </c>
      <c r="C747" s="18">
        <v>0</v>
      </c>
      <c r="D747" s="18">
        <f>1214574+68074</f>
        <v>1282648</v>
      </c>
      <c r="E747" s="18">
        <f t="shared" si="23"/>
        <v>1282648</v>
      </c>
    </row>
    <row r="748" spans="1:5" ht="11.25">
      <c r="A748" s="35">
        <v>33014</v>
      </c>
      <c r="B748" s="18" t="s">
        <v>472</v>
      </c>
      <c r="C748" s="18">
        <v>0</v>
      </c>
      <c r="D748" s="18">
        <f>1881692+73367</f>
        <v>1955059</v>
      </c>
      <c r="E748" s="18">
        <f t="shared" si="23"/>
        <v>1955059</v>
      </c>
    </row>
    <row r="749" spans="1:5" ht="11.25">
      <c r="A749" s="35">
        <v>33015</v>
      </c>
      <c r="B749" s="18" t="s">
        <v>473</v>
      </c>
      <c r="C749" s="18">
        <v>0</v>
      </c>
      <c r="D749" s="18">
        <f>237893+685607</f>
        <v>923500</v>
      </c>
      <c r="E749" s="18">
        <f t="shared" si="23"/>
        <v>923500</v>
      </c>
    </row>
    <row r="750" spans="1:5" ht="11.25">
      <c r="A750" s="35">
        <v>33016</v>
      </c>
      <c r="B750" s="18" t="s">
        <v>515</v>
      </c>
      <c r="C750" s="18">
        <v>0</v>
      </c>
      <c r="D750" s="18">
        <f>1731292+1078159</f>
        <v>2809451</v>
      </c>
      <c r="E750" s="18">
        <f t="shared" si="23"/>
        <v>2809451</v>
      </c>
    </row>
    <row r="751" spans="1:5" ht="11.25">
      <c r="A751" s="35">
        <v>33017</v>
      </c>
      <c r="B751" s="18" t="s">
        <v>512</v>
      </c>
      <c r="C751" s="18">
        <v>0</v>
      </c>
      <c r="D751" s="18">
        <f>36663+8312</f>
        <v>44975</v>
      </c>
      <c r="E751" s="18">
        <f t="shared" si="23"/>
        <v>44975</v>
      </c>
    </row>
    <row r="752" spans="1:5" ht="11.25">
      <c r="A752" s="35">
        <v>33018</v>
      </c>
      <c r="B752" s="18" t="s">
        <v>504</v>
      </c>
      <c r="C752" s="18">
        <v>0</v>
      </c>
      <c r="D752" s="18">
        <v>0</v>
      </c>
      <c r="E752" s="18">
        <f t="shared" si="23"/>
        <v>0</v>
      </c>
    </row>
    <row r="753" spans="1:5" ht="11.25">
      <c r="A753" s="35">
        <v>33020</v>
      </c>
      <c r="B753" s="18" t="s">
        <v>478</v>
      </c>
      <c r="C753" s="18">
        <v>0</v>
      </c>
      <c r="D753" s="18">
        <v>52749320</v>
      </c>
      <c r="E753" s="18">
        <f t="shared" si="23"/>
        <v>52749320</v>
      </c>
    </row>
    <row r="754" spans="1:5" ht="11.25">
      <c r="A754" s="35">
        <v>33021</v>
      </c>
      <c r="B754" s="18" t="s">
        <v>496</v>
      </c>
      <c r="C754" s="18">
        <v>0</v>
      </c>
      <c r="D754" s="18">
        <v>811264202</v>
      </c>
      <c r="E754" s="18">
        <f t="shared" si="23"/>
        <v>811264202</v>
      </c>
    </row>
    <row r="755" spans="1:5" ht="11.25">
      <c r="A755" s="35">
        <v>33032</v>
      </c>
      <c r="B755" s="18" t="s">
        <v>480</v>
      </c>
      <c r="C755" s="18">
        <v>0</v>
      </c>
      <c r="D755" s="18">
        <v>605946785</v>
      </c>
      <c r="E755" s="18">
        <f t="shared" si="23"/>
        <v>605946785</v>
      </c>
    </row>
    <row r="756" spans="1:5" ht="11.25">
      <c r="A756" s="35">
        <v>33034</v>
      </c>
      <c r="B756" s="18" t="s">
        <v>481</v>
      </c>
      <c r="C756" s="18">
        <v>0</v>
      </c>
      <c r="D756" s="18">
        <v>0</v>
      </c>
      <c r="E756" s="18">
        <f t="shared" si="23"/>
        <v>0</v>
      </c>
    </row>
    <row r="757" spans="1:5" ht="11.25">
      <c r="A757" s="35">
        <v>33038</v>
      </c>
      <c r="B757" s="18" t="s">
        <v>482</v>
      </c>
      <c r="C757" s="18">
        <v>0</v>
      </c>
      <c r="D757" s="18">
        <v>1291453812</v>
      </c>
      <c r="E757" s="18">
        <f t="shared" si="23"/>
        <v>1291453812</v>
      </c>
    </row>
    <row r="758" spans="1:5" ht="11.25">
      <c r="A758" s="35">
        <v>33043</v>
      </c>
      <c r="B758" s="18" t="s">
        <v>489</v>
      </c>
      <c r="C758" s="18">
        <v>0</v>
      </c>
      <c r="D758" s="18">
        <v>5707072</v>
      </c>
      <c r="E758" s="18">
        <f t="shared" si="23"/>
        <v>5707072</v>
      </c>
    </row>
    <row r="759" spans="1:5" ht="11.25">
      <c r="A759" s="35">
        <v>33044</v>
      </c>
      <c r="B759" s="18" t="s">
        <v>490</v>
      </c>
      <c r="C759" s="18">
        <v>0</v>
      </c>
      <c r="D759" s="18">
        <v>967217</v>
      </c>
      <c r="E759" s="18">
        <f t="shared" si="23"/>
        <v>967217</v>
      </c>
    </row>
    <row r="760" spans="1:5" ht="11.25">
      <c r="A760" s="35">
        <v>33046</v>
      </c>
      <c r="B760" s="18" t="s">
        <v>485</v>
      </c>
      <c r="C760" s="18">
        <v>0</v>
      </c>
      <c r="D760" s="18">
        <v>7964301697</v>
      </c>
      <c r="E760" s="18">
        <f t="shared" si="23"/>
        <v>7964301697</v>
      </c>
    </row>
    <row r="761" spans="1:5" ht="11.25">
      <c r="A761" s="35">
        <v>33058</v>
      </c>
      <c r="B761" s="18" t="s">
        <v>516</v>
      </c>
      <c r="C761" s="18">
        <v>0</v>
      </c>
      <c r="D761" s="18">
        <v>50303273</v>
      </c>
      <c r="E761" s="18">
        <f t="shared" si="23"/>
        <v>50303273</v>
      </c>
    </row>
    <row r="762" spans="1:5" ht="11.25">
      <c r="A762" s="35">
        <v>33091</v>
      </c>
      <c r="B762" s="18" t="s">
        <v>487</v>
      </c>
      <c r="C762" s="18">
        <v>0</v>
      </c>
      <c r="D762" s="18"/>
      <c r="E762" s="18">
        <f t="shared" si="23"/>
        <v>0</v>
      </c>
    </row>
    <row r="763" spans="1:5" ht="11.25">
      <c r="A763" s="35">
        <v>40000</v>
      </c>
      <c r="B763" s="2" t="s">
        <v>454</v>
      </c>
      <c r="C763" s="2">
        <f>+C764+C769+C775+C780</f>
        <v>0</v>
      </c>
      <c r="D763" s="2">
        <f>+D764+D769+D775+D780</f>
        <v>0</v>
      </c>
      <c r="E763" s="2">
        <f t="shared" si="23"/>
        <v>0</v>
      </c>
    </row>
    <row r="764" spans="1:5" ht="11.25">
      <c r="A764" s="35">
        <v>40500</v>
      </c>
      <c r="B764" s="2" t="s">
        <v>517</v>
      </c>
      <c r="C764" s="2">
        <f>SUM(C765:C768)</f>
        <v>0</v>
      </c>
      <c r="D764" s="2">
        <f>SUM(D765:D768)</f>
        <v>-403653794</v>
      </c>
      <c r="E764" s="2">
        <f t="shared" si="23"/>
        <v>-403653794</v>
      </c>
    </row>
    <row r="765" spans="1:5" ht="11.25">
      <c r="A765" s="35">
        <v>40501</v>
      </c>
      <c r="B765" s="18" t="s">
        <v>255</v>
      </c>
      <c r="C765" s="18">
        <v>0</v>
      </c>
      <c r="D765" s="18">
        <v>-998430</v>
      </c>
      <c r="E765" s="18">
        <f t="shared" si="23"/>
        <v>-998430</v>
      </c>
    </row>
    <row r="766" spans="1:5" ht="11.25">
      <c r="A766" s="35">
        <v>40502</v>
      </c>
      <c r="B766" s="18" t="s">
        <v>256</v>
      </c>
      <c r="C766" s="18">
        <v>0</v>
      </c>
      <c r="D766" s="18">
        <v>-765034</v>
      </c>
      <c r="E766" s="18">
        <f t="shared" si="23"/>
        <v>-765034</v>
      </c>
    </row>
    <row r="767" spans="1:5" ht="11.25">
      <c r="A767" s="35">
        <v>40503</v>
      </c>
      <c r="B767" s="18" t="s">
        <v>258</v>
      </c>
      <c r="C767" s="18">
        <v>0</v>
      </c>
      <c r="D767" s="18">
        <v>-373949645</v>
      </c>
      <c r="E767" s="18">
        <f t="shared" si="23"/>
        <v>-373949645</v>
      </c>
    </row>
    <row r="768" spans="1:5" ht="11.25">
      <c r="A768" s="35">
        <v>40508</v>
      </c>
      <c r="B768" s="18" t="s">
        <v>257</v>
      </c>
      <c r="C768" s="18">
        <v>0</v>
      </c>
      <c r="D768" s="18">
        <v>-27940685</v>
      </c>
      <c r="E768" s="18">
        <f t="shared" si="23"/>
        <v>-27940685</v>
      </c>
    </row>
    <row r="769" spans="1:5" ht="11.25">
      <c r="A769" s="35">
        <v>41000</v>
      </c>
      <c r="B769" s="2" t="s">
        <v>518</v>
      </c>
      <c r="C769" s="2">
        <f>SUM(C770:C774)</f>
        <v>0</v>
      </c>
      <c r="D769" s="2">
        <f>SUM(D770:D774)</f>
        <v>109032065</v>
      </c>
      <c r="E769" s="2">
        <f t="shared" si="23"/>
        <v>109032065</v>
      </c>
    </row>
    <row r="770" spans="1:5" ht="11.25">
      <c r="A770" s="35">
        <v>41001</v>
      </c>
      <c r="B770" s="18" t="s">
        <v>255</v>
      </c>
      <c r="C770" s="18">
        <v>0</v>
      </c>
      <c r="D770" s="18">
        <v>11003</v>
      </c>
      <c r="E770" s="18">
        <f t="shared" si="23"/>
        <v>11003</v>
      </c>
    </row>
    <row r="771" spans="1:5" ht="11.25">
      <c r="A771" s="35">
        <v>41002</v>
      </c>
      <c r="B771" s="18" t="s">
        <v>256</v>
      </c>
      <c r="C771" s="18">
        <v>0</v>
      </c>
      <c r="D771" s="18">
        <v>53912</v>
      </c>
      <c r="E771" s="18">
        <f t="shared" si="23"/>
        <v>53912</v>
      </c>
    </row>
    <row r="772" spans="1:5" ht="11.25">
      <c r="A772" s="35">
        <v>41003</v>
      </c>
      <c r="B772" s="18" t="s">
        <v>258</v>
      </c>
      <c r="C772" s="18">
        <v>0</v>
      </c>
      <c r="D772" s="18">
        <v>108806159</v>
      </c>
      <c r="E772" s="18">
        <f t="shared" si="23"/>
        <v>108806159</v>
      </c>
    </row>
    <row r="773" spans="1:5" ht="11.25">
      <c r="A773" s="35">
        <v>41004</v>
      </c>
      <c r="B773" s="18" t="s">
        <v>519</v>
      </c>
      <c r="C773" s="18">
        <v>0</v>
      </c>
      <c r="D773" s="18"/>
      <c r="E773" s="18">
        <f t="shared" si="23"/>
        <v>0</v>
      </c>
    </row>
    <row r="774" spans="1:5" ht="11.25">
      <c r="A774" s="35">
        <v>41008</v>
      </c>
      <c r="B774" s="18" t="s">
        <v>257</v>
      </c>
      <c r="C774" s="18">
        <v>0</v>
      </c>
      <c r="D774" s="18">
        <v>160991</v>
      </c>
      <c r="E774" s="18">
        <f t="shared" si="23"/>
        <v>160991</v>
      </c>
    </row>
    <row r="775" spans="1:5" ht="11.25">
      <c r="A775" s="35">
        <v>41500</v>
      </c>
      <c r="B775" s="2" t="s">
        <v>520</v>
      </c>
      <c r="C775" s="2">
        <f>SUM(C776:C779)</f>
        <v>0</v>
      </c>
      <c r="D775" s="2">
        <f>SUM(D776:D779)</f>
        <v>0</v>
      </c>
      <c r="E775" s="2">
        <f t="shared" si="23"/>
        <v>0</v>
      </c>
    </row>
    <row r="776" spans="1:5" ht="11.25">
      <c r="A776" s="35">
        <v>41501</v>
      </c>
      <c r="B776" s="18" t="s">
        <v>541</v>
      </c>
      <c r="C776" s="18">
        <v>0</v>
      </c>
      <c r="D776" s="18"/>
      <c r="E776" s="18">
        <f t="shared" si="23"/>
        <v>0</v>
      </c>
    </row>
    <row r="777" spans="1:5" ht="11.25">
      <c r="A777" s="35">
        <v>41502</v>
      </c>
      <c r="B777" s="18" t="s">
        <v>256</v>
      </c>
      <c r="C777" s="18">
        <v>0</v>
      </c>
      <c r="D777" s="18"/>
      <c r="E777" s="18">
        <f t="shared" si="23"/>
        <v>0</v>
      </c>
    </row>
    <row r="778" spans="1:5" ht="11.25">
      <c r="A778" s="35">
        <v>41503</v>
      </c>
      <c r="B778" s="18" t="s">
        <v>258</v>
      </c>
      <c r="C778" s="18">
        <v>0</v>
      </c>
      <c r="D778" s="18"/>
      <c r="E778" s="18">
        <f t="shared" si="23"/>
        <v>0</v>
      </c>
    </row>
    <row r="779" spans="1:5" ht="11.25">
      <c r="A779" s="35">
        <v>41508</v>
      </c>
      <c r="B779" s="18" t="s">
        <v>257</v>
      </c>
      <c r="C779" s="18">
        <v>0</v>
      </c>
      <c r="D779" s="18"/>
      <c r="E779" s="18">
        <f t="shared" si="23"/>
        <v>0</v>
      </c>
    </row>
    <row r="780" spans="1:5" ht="11.25">
      <c r="A780" s="35">
        <v>42000</v>
      </c>
      <c r="B780" s="2" t="s">
        <v>521</v>
      </c>
      <c r="C780" s="2">
        <f>SUM(C781:C785)</f>
        <v>0</v>
      </c>
      <c r="D780" s="2">
        <f>SUM(D781:D785)</f>
        <v>294621729</v>
      </c>
      <c r="E780" s="2">
        <f t="shared" si="23"/>
        <v>294621729</v>
      </c>
    </row>
    <row r="781" spans="1:5" ht="11.25">
      <c r="A781" s="35">
        <v>42001</v>
      </c>
      <c r="B781" s="18" t="str">
        <f>+B776</f>
        <v>Servicios Personales</v>
      </c>
      <c r="C781" s="18">
        <v>0</v>
      </c>
      <c r="D781" s="18">
        <v>987427</v>
      </c>
      <c r="E781" s="18">
        <f t="shared" si="23"/>
        <v>987427</v>
      </c>
    </row>
    <row r="782" spans="1:5" ht="11.25">
      <c r="A782" s="35">
        <v>42002</v>
      </c>
      <c r="B782" s="18" t="s">
        <v>256</v>
      </c>
      <c r="C782" s="18">
        <v>0</v>
      </c>
      <c r="D782" s="18">
        <v>711122</v>
      </c>
      <c r="E782" s="18">
        <f t="shared" si="23"/>
        <v>711122</v>
      </c>
    </row>
    <row r="783" spans="1:5" ht="11.25">
      <c r="A783" s="35">
        <v>42003</v>
      </c>
      <c r="B783" s="18" t="s">
        <v>418</v>
      </c>
      <c r="C783" s="18">
        <v>0</v>
      </c>
      <c r="D783" s="18">
        <v>265143486</v>
      </c>
      <c r="E783" s="18">
        <f t="shared" si="23"/>
        <v>265143486</v>
      </c>
    </row>
    <row r="784" spans="1:5" ht="11.25">
      <c r="A784" s="35">
        <v>42004</v>
      </c>
      <c r="B784" s="18" t="s">
        <v>519</v>
      </c>
      <c r="C784" s="18">
        <v>0</v>
      </c>
      <c r="D784" s="18"/>
      <c r="E784" s="18">
        <f>+C784+D784</f>
        <v>0</v>
      </c>
    </row>
    <row r="785" spans="1:5" ht="11.25">
      <c r="A785" s="35">
        <v>42008</v>
      </c>
      <c r="B785" s="18" t="s">
        <v>257</v>
      </c>
      <c r="C785" s="18">
        <v>0</v>
      </c>
      <c r="D785" s="18">
        <v>27779694</v>
      </c>
      <c r="E785" s="18">
        <f>+C785+D785</f>
        <v>27779694</v>
      </c>
    </row>
    <row r="786" spans="1:5" ht="11.25">
      <c r="A786" s="35">
        <v>70000</v>
      </c>
      <c r="B786" s="2" t="s">
        <v>522</v>
      </c>
      <c r="C786" s="2">
        <v>0</v>
      </c>
      <c r="D786" s="2">
        <f>+D787</f>
        <v>-175462467</v>
      </c>
      <c r="E786" s="2">
        <f aca="true" t="shared" si="24" ref="E786:E794">+C786+D786</f>
        <v>-175462467</v>
      </c>
    </row>
    <row r="787" spans="1:5" ht="11.25">
      <c r="A787" s="35">
        <v>70200</v>
      </c>
      <c r="B787" s="2" t="s">
        <v>523</v>
      </c>
      <c r="C787" s="2">
        <v>0</v>
      </c>
      <c r="D787" s="2">
        <f>+D788</f>
        <v>-175462467</v>
      </c>
      <c r="E787" s="2">
        <f t="shared" si="24"/>
        <v>-175462467</v>
      </c>
    </row>
    <row r="788" spans="1:5" ht="11.25">
      <c r="A788" s="35">
        <v>70202</v>
      </c>
      <c r="B788" s="18" t="s">
        <v>524</v>
      </c>
      <c r="C788" s="18">
        <v>0</v>
      </c>
      <c r="D788" s="18">
        <v>-175462467</v>
      </c>
      <c r="E788" s="18">
        <f t="shared" si="24"/>
        <v>-175462467</v>
      </c>
    </row>
    <row r="789" spans="1:5" ht="11.25">
      <c r="A789" s="35">
        <v>80000</v>
      </c>
      <c r="B789" s="2" t="s">
        <v>525</v>
      </c>
      <c r="C789" s="18">
        <v>0</v>
      </c>
      <c r="D789" s="2">
        <f>+D791</f>
        <v>49737544</v>
      </c>
      <c r="E789" s="2">
        <f t="shared" si="24"/>
        <v>49737544</v>
      </c>
    </row>
    <row r="790" spans="1:5" ht="11.25">
      <c r="A790" s="35">
        <v>80200</v>
      </c>
      <c r="B790" s="2" t="s">
        <v>523</v>
      </c>
      <c r="C790" s="2">
        <v>0</v>
      </c>
      <c r="D790" s="2">
        <f>+D791</f>
        <v>49737544</v>
      </c>
      <c r="E790" s="2">
        <f t="shared" si="24"/>
        <v>49737544</v>
      </c>
    </row>
    <row r="791" spans="1:5" ht="11.25">
      <c r="A791" s="35">
        <v>80202</v>
      </c>
      <c r="B791" s="18" t="s">
        <v>524</v>
      </c>
      <c r="C791" s="18">
        <v>0</v>
      </c>
      <c r="D791" s="18">
        <v>49737544</v>
      </c>
      <c r="E791" s="18">
        <f t="shared" si="24"/>
        <v>49737544</v>
      </c>
    </row>
    <row r="792" spans="1:5" ht="11.25">
      <c r="A792" s="35">
        <v>90000</v>
      </c>
      <c r="B792" s="2" t="s">
        <v>522</v>
      </c>
      <c r="C792" s="18">
        <v>0</v>
      </c>
      <c r="D792" s="2">
        <f>+D793</f>
        <v>125724923</v>
      </c>
      <c r="E792" s="2">
        <f t="shared" si="24"/>
        <v>125724923</v>
      </c>
    </row>
    <row r="793" spans="1:5" ht="11.25">
      <c r="A793" s="35">
        <v>90200</v>
      </c>
      <c r="B793" s="2" t="s">
        <v>523</v>
      </c>
      <c r="C793" s="2">
        <v>0</v>
      </c>
      <c r="D793" s="2">
        <f>+D794</f>
        <v>125724923</v>
      </c>
      <c r="E793" s="2">
        <f t="shared" si="24"/>
        <v>125724923</v>
      </c>
    </row>
    <row r="794" spans="1:5" ht="11.25">
      <c r="A794" s="35">
        <v>90202</v>
      </c>
      <c r="B794" s="18" t="s">
        <v>524</v>
      </c>
      <c r="C794" s="10">
        <v>0</v>
      </c>
      <c r="D794" s="18">
        <v>125724923</v>
      </c>
      <c r="E794" s="18">
        <f t="shared" si="24"/>
        <v>125724923</v>
      </c>
    </row>
    <row r="795" ht="11.25"/>
    <row r="796" ht="11.25"/>
    <row r="801" ht="11.25"/>
    <row r="802" spans="1:4" ht="11.25">
      <c r="A802" s="2" t="s">
        <v>526</v>
      </c>
      <c r="B802" s="46"/>
      <c r="D802" s="26" t="s">
        <v>527</v>
      </c>
    </row>
    <row r="803" spans="1:4" ht="11.25">
      <c r="A803" s="18" t="s">
        <v>528</v>
      </c>
      <c r="B803" s="18"/>
      <c r="D803" s="10" t="s">
        <v>529</v>
      </c>
    </row>
    <row r="804" spans="1:4" ht="11.25">
      <c r="A804" s="26" t="s">
        <v>2</v>
      </c>
      <c r="B804" s="18"/>
      <c r="C804" s="18"/>
      <c r="D804" s="10"/>
    </row>
    <row r="805" spans="1:4" ht="11.25">
      <c r="A805" s="26"/>
      <c r="B805" s="18"/>
      <c r="C805" s="18"/>
      <c r="D805" s="10"/>
    </row>
    <row r="806" spans="1:4" ht="11.25">
      <c r="A806" s="26"/>
      <c r="B806" s="18"/>
      <c r="C806" s="18"/>
      <c r="D806" s="10"/>
    </row>
    <row r="807" spans="1:4" ht="11.25">
      <c r="A807" s="26"/>
      <c r="B807" s="18"/>
      <c r="C807" s="18"/>
      <c r="D807" s="10"/>
    </row>
    <row r="808" spans="1:4" ht="11.25">
      <c r="A808" s="26"/>
      <c r="B808" s="18"/>
      <c r="C808" s="18"/>
      <c r="D808" s="10"/>
    </row>
    <row r="809" spans="1:4" ht="11.25">
      <c r="A809" s="26"/>
      <c r="B809" s="18"/>
      <c r="C809" s="18"/>
      <c r="D809" s="10"/>
    </row>
    <row r="810" spans="1:4" ht="11.25">
      <c r="A810" s="26" t="s">
        <v>574</v>
      </c>
      <c r="B810" s="18"/>
      <c r="C810" s="18"/>
      <c r="D810" s="10"/>
    </row>
    <row r="811" spans="1:4" ht="11.25">
      <c r="A811" s="10" t="s">
        <v>542</v>
      </c>
      <c r="B811" s="18"/>
      <c r="C811" s="18"/>
      <c r="D811" s="10"/>
    </row>
    <row r="812" spans="1:4" ht="11.25">
      <c r="A812" s="10" t="s">
        <v>573</v>
      </c>
      <c r="B812" s="18"/>
      <c r="C812" s="18"/>
      <c r="D812" s="10"/>
    </row>
    <row r="813" ht="11.25">
      <c r="A813" s="45"/>
    </row>
  </sheetData>
  <printOptions gridLines="1" headings="1"/>
  <pageMargins left="0.7874015748031497" right="0.1968503937007874" top="0.96" bottom="0.7874015748031497" header="0.3937007874015748" footer="0.5511811023622047"/>
  <pageSetup horizontalDpi="600" verticalDpi="600" orientation="portrait" scale="90" r:id="rId2"/>
  <headerFooter alignWithMargins="0">
    <oddFooter>&amp;CPágina &amp;P de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3"/>
  <sheetViews>
    <sheetView workbookViewId="0" topLeftCell="A3">
      <selection activeCell="C15" sqref="C15:C16"/>
    </sheetView>
  </sheetViews>
  <sheetFormatPr defaultColWidth="11.421875" defaultRowHeight="12.75"/>
  <cols>
    <col min="1" max="1" width="5.7109375" style="75" bestFit="1" customWidth="1"/>
    <col min="2" max="2" width="24.421875" style="75" customWidth="1"/>
    <col min="3" max="4" width="9.8515625" style="85" bestFit="1" customWidth="1"/>
    <col min="5" max="5" width="5.421875" style="75" bestFit="1" customWidth="1"/>
    <col min="6" max="6" width="24.57421875" style="75" customWidth="1"/>
    <col min="7" max="8" width="10.140625" style="85" bestFit="1" customWidth="1"/>
    <col min="9" max="16384" width="11.421875" style="75" customWidth="1"/>
  </cols>
  <sheetData>
    <row r="1" spans="1:8" ht="9">
      <c r="A1" s="89" t="s">
        <v>7</v>
      </c>
      <c r="B1" s="89"/>
      <c r="C1" s="89"/>
      <c r="D1" s="89"/>
      <c r="E1" s="89"/>
      <c r="F1" s="89"/>
      <c r="G1" s="89"/>
      <c r="H1" s="89"/>
    </row>
    <row r="2" spans="1:8" ht="9">
      <c r="A2" s="89" t="s">
        <v>623</v>
      </c>
      <c r="B2" s="89"/>
      <c r="C2" s="89"/>
      <c r="D2" s="89"/>
      <c r="E2" s="89"/>
      <c r="F2" s="89"/>
      <c r="G2" s="89"/>
      <c r="H2" s="89"/>
    </row>
    <row r="3" spans="1:8" ht="9">
      <c r="A3" s="76" t="s">
        <v>624</v>
      </c>
      <c r="B3" s="77"/>
      <c r="C3" s="78"/>
      <c r="D3" s="78"/>
      <c r="E3" s="77"/>
      <c r="F3" s="77"/>
      <c r="G3" s="78"/>
      <c r="H3" s="78"/>
    </row>
    <row r="4" spans="1:8" ht="9">
      <c r="A4" s="89" t="s">
        <v>625</v>
      </c>
      <c r="B4" s="89"/>
      <c r="C4" s="89"/>
      <c r="D4" s="89"/>
      <c r="E4" s="89"/>
      <c r="F4" s="89"/>
      <c r="G4" s="89"/>
      <c r="H4" s="89"/>
    </row>
    <row r="5" spans="1:8" ht="9">
      <c r="A5" s="89" t="s">
        <v>575</v>
      </c>
      <c r="B5" s="89"/>
      <c r="C5" s="89"/>
      <c r="D5" s="89"/>
      <c r="E5" s="89"/>
      <c r="F5" s="89"/>
      <c r="G5" s="89"/>
      <c r="H5" s="89"/>
    </row>
    <row r="6" spans="1:8" ht="12.75" customHeight="1">
      <c r="A6" s="79"/>
      <c r="B6" s="79"/>
      <c r="C6" s="80">
        <v>2004</v>
      </c>
      <c r="D6" s="80">
        <v>2003</v>
      </c>
      <c r="E6" s="79"/>
      <c r="F6" s="79"/>
      <c r="G6" s="80">
        <v>2004</v>
      </c>
      <c r="H6" s="80">
        <v>2003</v>
      </c>
    </row>
    <row r="7" spans="1:8" ht="9">
      <c r="A7" s="79"/>
      <c r="B7" s="79"/>
      <c r="C7" s="80" t="s">
        <v>626</v>
      </c>
      <c r="D7" s="80" t="s">
        <v>626</v>
      </c>
      <c r="E7" s="79"/>
      <c r="F7" s="79"/>
      <c r="G7" s="80" t="s">
        <v>626</v>
      </c>
      <c r="H7" s="80" t="s">
        <v>626</v>
      </c>
    </row>
    <row r="8" spans="1:8" ht="9">
      <c r="A8" s="79" t="s">
        <v>627</v>
      </c>
      <c r="B8" s="79" t="s">
        <v>16</v>
      </c>
      <c r="C8" s="80" t="s">
        <v>628</v>
      </c>
      <c r="D8" s="80" t="s">
        <v>628</v>
      </c>
      <c r="E8" s="79" t="s">
        <v>627</v>
      </c>
      <c r="F8" s="79" t="s">
        <v>145</v>
      </c>
      <c r="G8" s="80" t="s">
        <v>628</v>
      </c>
      <c r="H8" s="80" t="s">
        <v>628</v>
      </c>
    </row>
    <row r="9" spans="1:8" ht="9">
      <c r="A9" s="79"/>
      <c r="B9" s="79"/>
      <c r="C9" s="80" t="s">
        <v>629</v>
      </c>
      <c r="D9" s="80" t="s">
        <v>629</v>
      </c>
      <c r="E9" s="79"/>
      <c r="F9" s="79"/>
      <c r="G9" s="80" t="s">
        <v>629</v>
      </c>
      <c r="H9" s="80" t="s">
        <v>629</v>
      </c>
    </row>
    <row r="10" spans="1:8" ht="9">
      <c r="A10" s="81"/>
      <c r="B10" s="81"/>
      <c r="C10" s="82"/>
      <c r="D10" s="82"/>
      <c r="E10" s="81"/>
      <c r="F10" s="81"/>
      <c r="G10" s="82"/>
      <c r="H10" s="82"/>
    </row>
    <row r="11" spans="2:9" ht="9">
      <c r="B11" s="83" t="s">
        <v>630</v>
      </c>
      <c r="C11" s="84">
        <f>C13+C21+C28+C34+C47+C58+C82</f>
        <v>265579473</v>
      </c>
      <c r="D11" s="84">
        <f>D13+D21+D28+D34+D47+D58+D82</f>
        <v>200763955</v>
      </c>
      <c r="F11" s="83" t="s">
        <v>631</v>
      </c>
      <c r="G11" s="84">
        <f>+G13+G19+G24+G29+G50+G55+G63+G72</f>
        <v>745691462</v>
      </c>
      <c r="H11" s="84">
        <f>+H13+H19+H24+H29+H50+H55+H63+H72</f>
        <v>676788560</v>
      </c>
      <c r="I11" s="85"/>
    </row>
    <row r="12" ht="9">
      <c r="I12" s="85"/>
    </row>
    <row r="13" spans="1:8" ht="9">
      <c r="A13" s="75">
        <v>11</v>
      </c>
      <c r="B13" s="83" t="s">
        <v>632</v>
      </c>
      <c r="C13" s="84">
        <f>SUM(C15:C19)</f>
        <v>11385395</v>
      </c>
      <c r="D13" s="84">
        <f>SUM(D15:D19)</f>
        <v>24986030</v>
      </c>
      <c r="E13" s="75">
        <v>21</v>
      </c>
      <c r="F13" s="83" t="s">
        <v>633</v>
      </c>
      <c r="G13" s="84">
        <f>SUM(G15:G17)</f>
        <v>0</v>
      </c>
      <c r="H13" s="84">
        <f>SUM(H15:H17)</f>
        <v>0</v>
      </c>
    </row>
    <row r="15" spans="1:8" ht="9">
      <c r="A15" s="75">
        <v>1105</v>
      </c>
      <c r="B15" s="75" t="s">
        <v>634</v>
      </c>
      <c r="C15" s="85">
        <f>'CGN96.001 '!E13</f>
        <v>1404</v>
      </c>
      <c r="D15" s="85">
        <v>0</v>
      </c>
      <c r="E15" s="75">
        <v>2105</v>
      </c>
      <c r="F15" s="75" t="s">
        <v>635</v>
      </c>
      <c r="G15" s="85">
        <v>0</v>
      </c>
      <c r="H15" s="85">
        <v>0</v>
      </c>
    </row>
    <row r="16" spans="1:8" ht="9">
      <c r="A16" s="75">
        <v>1110</v>
      </c>
      <c r="B16" s="75" t="s">
        <v>143</v>
      </c>
      <c r="C16" s="85">
        <f>'CGN96.001 '!E16</f>
        <v>754067</v>
      </c>
      <c r="D16" s="85">
        <v>1439105</v>
      </c>
      <c r="E16" s="75">
        <v>2110</v>
      </c>
      <c r="F16" s="75" t="s">
        <v>636</v>
      </c>
      <c r="G16" s="85">
        <v>0</v>
      </c>
      <c r="H16" s="85">
        <v>0</v>
      </c>
    </row>
    <row r="17" spans="1:8" ht="9">
      <c r="A17" s="75">
        <v>1115</v>
      </c>
      <c r="B17" s="75" t="s">
        <v>637</v>
      </c>
      <c r="C17" s="85">
        <v>0</v>
      </c>
      <c r="D17" s="85">
        <v>0</v>
      </c>
      <c r="E17" s="75">
        <v>2115</v>
      </c>
      <c r="F17" s="75" t="s">
        <v>638</v>
      </c>
      <c r="G17" s="85">
        <v>0</v>
      </c>
      <c r="H17" s="85">
        <v>0</v>
      </c>
    </row>
    <row r="18" spans="1:4" ht="9">
      <c r="A18" s="75">
        <v>1120</v>
      </c>
      <c r="B18" s="75" t="s">
        <v>639</v>
      </c>
      <c r="C18" s="85">
        <v>0</v>
      </c>
      <c r="D18" s="85">
        <v>0</v>
      </c>
    </row>
    <row r="19" spans="1:8" ht="9">
      <c r="A19" s="75">
        <v>1125</v>
      </c>
      <c r="B19" s="75" t="s">
        <v>640</v>
      </c>
      <c r="C19" s="85">
        <f>'CGN96.001 '!E20</f>
        <v>10629924</v>
      </c>
      <c r="D19" s="85">
        <v>23546925</v>
      </c>
      <c r="E19" s="75">
        <v>22</v>
      </c>
      <c r="F19" s="83" t="s">
        <v>642</v>
      </c>
      <c r="G19" s="84">
        <f>SUM(G21:G22)</f>
        <v>132000</v>
      </c>
      <c r="H19" s="84">
        <f>SUM(H21:H22)</f>
        <v>132000</v>
      </c>
    </row>
    <row r="20" ht="9">
      <c r="F20" s="83"/>
    </row>
    <row r="21" spans="1:8" ht="9">
      <c r="A21" s="75">
        <v>12</v>
      </c>
      <c r="B21" s="83" t="s">
        <v>641</v>
      </c>
      <c r="C21" s="84">
        <f>SUM(C22:C26)</f>
        <v>162398817</v>
      </c>
      <c r="D21" s="84">
        <f>SUM(D22:D26)</f>
        <v>124100842</v>
      </c>
      <c r="E21" s="75">
        <v>2205</v>
      </c>
      <c r="F21" s="75" t="s">
        <v>645</v>
      </c>
      <c r="G21" s="85">
        <v>0</v>
      </c>
      <c r="H21" s="85">
        <v>0</v>
      </c>
    </row>
    <row r="22" spans="1:8" ht="9">
      <c r="A22" s="75">
        <v>1201</v>
      </c>
      <c r="B22" s="75" t="s">
        <v>643</v>
      </c>
      <c r="C22" s="85">
        <f>'CGN96.001 '!E24</f>
        <v>162349608</v>
      </c>
      <c r="D22" s="85">
        <v>124100842</v>
      </c>
      <c r="E22" s="75">
        <v>2246</v>
      </c>
      <c r="F22" s="75" t="s">
        <v>647</v>
      </c>
      <c r="G22" s="85">
        <f>'CGN96.001 '!E202</f>
        <v>132000</v>
      </c>
      <c r="H22" s="85">
        <v>132000</v>
      </c>
    </row>
    <row r="23" spans="1:4" ht="9">
      <c r="A23" s="75">
        <v>1202</v>
      </c>
      <c r="B23" s="75" t="s">
        <v>955</v>
      </c>
      <c r="C23" s="85">
        <f>'CGN96.001 '!E27</f>
        <v>49209</v>
      </c>
      <c r="D23" s="85">
        <v>0</v>
      </c>
    </row>
    <row r="24" spans="1:8" ht="9">
      <c r="A24" s="75">
        <v>1205</v>
      </c>
      <c r="B24" s="75" t="s">
        <v>644</v>
      </c>
      <c r="C24" s="85">
        <v>0</v>
      </c>
      <c r="D24" s="85">
        <v>0</v>
      </c>
      <c r="E24" s="75">
        <v>23</v>
      </c>
      <c r="F24" s="83" t="s">
        <v>650</v>
      </c>
      <c r="G24" s="84">
        <f>SUM(G26:G27)</f>
        <v>0</v>
      </c>
      <c r="H24" s="84">
        <f>SUM(H26:H27)</f>
        <v>0</v>
      </c>
    </row>
    <row r="25" spans="1:8" ht="9">
      <c r="A25" s="75">
        <v>1215</v>
      </c>
      <c r="B25" s="75" t="s">
        <v>646</v>
      </c>
      <c r="C25" s="85">
        <v>0</v>
      </c>
      <c r="D25" s="85">
        <v>0</v>
      </c>
      <c r="F25" s="83"/>
      <c r="G25" s="84"/>
      <c r="H25" s="84"/>
    </row>
    <row r="26" spans="1:8" ht="9">
      <c r="A26" s="75">
        <v>1280</v>
      </c>
      <c r="B26" s="75" t="s">
        <v>648</v>
      </c>
      <c r="C26" s="85">
        <v>0</v>
      </c>
      <c r="D26" s="85">
        <v>0</v>
      </c>
      <c r="E26" s="75">
        <v>2305</v>
      </c>
      <c r="F26" s="75" t="s">
        <v>652</v>
      </c>
      <c r="G26" s="85">
        <v>0</v>
      </c>
      <c r="H26" s="85">
        <v>0</v>
      </c>
    </row>
    <row r="27" spans="5:8" ht="9">
      <c r="E27" s="75">
        <v>2310</v>
      </c>
      <c r="F27" s="75" t="s">
        <v>654</v>
      </c>
      <c r="G27" s="85">
        <v>0</v>
      </c>
      <c r="H27" s="85">
        <v>0</v>
      </c>
    </row>
    <row r="28" spans="1:4" ht="9">
      <c r="A28" s="75">
        <v>13</v>
      </c>
      <c r="B28" s="83" t="s">
        <v>649</v>
      </c>
      <c r="C28" s="84">
        <f>SUM(C29:C32)</f>
        <v>0</v>
      </c>
      <c r="D28" s="84">
        <f>SUM(D29:D32)</f>
        <v>0</v>
      </c>
    </row>
    <row r="29" spans="1:8" ht="9">
      <c r="A29" s="75">
        <v>1305</v>
      </c>
      <c r="B29" s="75" t="s">
        <v>651</v>
      </c>
      <c r="C29" s="85">
        <v>0</v>
      </c>
      <c r="D29" s="85">
        <v>0</v>
      </c>
      <c r="E29" s="75">
        <v>24</v>
      </c>
      <c r="F29" s="83" t="s">
        <v>657</v>
      </c>
      <c r="G29" s="84">
        <f>SUM(G31:G48)</f>
        <v>744652265</v>
      </c>
      <c r="H29" s="84">
        <f>SUM(H31:H48)</f>
        <v>675973486</v>
      </c>
    </row>
    <row r="30" spans="1:8" ht="9">
      <c r="A30" s="75">
        <v>1310</v>
      </c>
      <c r="B30" s="75" t="s">
        <v>653</v>
      </c>
      <c r="C30" s="85">
        <v>0</v>
      </c>
      <c r="D30" s="85">
        <v>0</v>
      </c>
      <c r="F30" s="83"/>
      <c r="G30" s="84"/>
      <c r="H30" s="84"/>
    </row>
    <row r="31" spans="1:8" ht="9">
      <c r="A31" s="75">
        <v>1315</v>
      </c>
      <c r="B31" s="75" t="s">
        <v>655</v>
      </c>
      <c r="C31" s="85">
        <v>0</v>
      </c>
      <c r="D31" s="85">
        <v>0</v>
      </c>
      <c r="E31" s="75">
        <v>2401</v>
      </c>
      <c r="F31" s="75" t="s">
        <v>659</v>
      </c>
      <c r="G31" s="85">
        <f>'CGN96.001 '!E205</f>
        <v>247603</v>
      </c>
      <c r="H31" s="85">
        <v>102145</v>
      </c>
    </row>
    <row r="32" spans="1:9" ht="9">
      <c r="A32" s="75">
        <v>1380</v>
      </c>
      <c r="B32" s="75" t="s">
        <v>656</v>
      </c>
      <c r="C32" s="85">
        <v>0</v>
      </c>
      <c r="D32" s="85">
        <v>0</v>
      </c>
      <c r="E32" s="75">
        <v>2403</v>
      </c>
      <c r="F32" s="75" t="s">
        <v>662</v>
      </c>
      <c r="G32" s="85">
        <f>'CGN96.001 '!E208</f>
        <v>743904419</v>
      </c>
      <c r="H32" s="85">
        <v>675735527</v>
      </c>
      <c r="I32" s="85"/>
    </row>
    <row r="33" spans="5:9" ht="9">
      <c r="E33" s="75">
        <v>2406</v>
      </c>
      <c r="F33" s="75" t="s">
        <v>664</v>
      </c>
      <c r="G33" s="85">
        <v>0</v>
      </c>
      <c r="H33" s="85">
        <v>0</v>
      </c>
      <c r="I33" s="85"/>
    </row>
    <row r="34" spans="1:8" ht="9">
      <c r="A34" s="75">
        <v>14</v>
      </c>
      <c r="B34" s="83" t="s">
        <v>658</v>
      </c>
      <c r="C34" s="84">
        <f>SUM(C35:C45)</f>
        <v>91687036</v>
      </c>
      <c r="D34" s="84">
        <f>SUM(D35:D45)</f>
        <v>51565253</v>
      </c>
      <c r="E34" s="75">
        <v>2410</v>
      </c>
      <c r="F34" s="75" t="s">
        <v>666</v>
      </c>
      <c r="G34" s="85">
        <v>0</v>
      </c>
      <c r="H34" s="85">
        <v>0</v>
      </c>
    </row>
    <row r="35" spans="1:8" ht="9">
      <c r="A35" s="75">
        <v>1401</v>
      </c>
      <c r="B35" s="75" t="s">
        <v>660</v>
      </c>
      <c r="C35" s="85">
        <v>0</v>
      </c>
      <c r="D35" s="85">
        <v>0</v>
      </c>
      <c r="E35" s="75">
        <v>2415</v>
      </c>
      <c r="F35" s="75" t="s">
        <v>668</v>
      </c>
      <c r="G35" s="85">
        <v>0</v>
      </c>
      <c r="H35" s="85">
        <v>0</v>
      </c>
    </row>
    <row r="36" spans="1:8" ht="9">
      <c r="A36" s="75">
        <v>1404</v>
      </c>
      <c r="B36" s="75" t="s">
        <v>661</v>
      </c>
      <c r="C36" s="85">
        <f>'CGN96.001 '!E35</f>
        <v>1283937</v>
      </c>
      <c r="D36" s="85">
        <v>31129966</v>
      </c>
      <c r="E36" s="75">
        <v>2420</v>
      </c>
      <c r="F36" s="75" t="s">
        <v>670</v>
      </c>
      <c r="G36" s="85">
        <v>0</v>
      </c>
      <c r="H36" s="85">
        <v>0</v>
      </c>
    </row>
    <row r="37" spans="1:8" ht="9">
      <c r="A37" s="75">
        <v>1407</v>
      </c>
      <c r="B37" s="75" t="s">
        <v>951</v>
      </c>
      <c r="C37" s="85">
        <f>'CGN96.001 '!E38</f>
        <v>1028170</v>
      </c>
      <c r="D37" s="85">
        <v>0</v>
      </c>
      <c r="E37" s="75">
        <v>2425</v>
      </c>
      <c r="F37" s="75" t="s">
        <v>672</v>
      </c>
      <c r="G37" s="85">
        <f>'CGN96.001 '!E216</f>
        <v>33753</v>
      </c>
      <c r="H37" s="85">
        <v>41011</v>
      </c>
    </row>
    <row r="38" spans="1:8" ht="9">
      <c r="A38" s="75">
        <v>1410</v>
      </c>
      <c r="B38" s="75" t="s">
        <v>663</v>
      </c>
      <c r="C38" s="85">
        <v>0</v>
      </c>
      <c r="D38" s="85">
        <v>0</v>
      </c>
      <c r="E38" s="75">
        <v>2430</v>
      </c>
      <c r="F38" s="75" t="s">
        <v>673</v>
      </c>
      <c r="G38" s="85">
        <v>0</v>
      </c>
      <c r="H38" s="85">
        <v>0</v>
      </c>
    </row>
    <row r="39" spans="1:8" ht="9">
      <c r="A39" s="75">
        <v>1415</v>
      </c>
      <c r="B39" s="75" t="s">
        <v>665</v>
      </c>
      <c r="C39" s="85">
        <v>0</v>
      </c>
      <c r="D39" s="85">
        <v>0</v>
      </c>
      <c r="E39" s="75">
        <v>2435</v>
      </c>
      <c r="F39" s="75" t="s">
        <v>675</v>
      </c>
      <c r="G39" s="85">
        <v>0</v>
      </c>
      <c r="H39" s="85">
        <v>0</v>
      </c>
    </row>
    <row r="40" spans="1:8" ht="9">
      <c r="A40" s="75">
        <v>1420</v>
      </c>
      <c r="B40" s="75" t="s">
        <v>667</v>
      </c>
      <c r="C40" s="85">
        <f>'CGN96.001 '!E43</f>
        <v>83964617</v>
      </c>
      <c r="D40" s="85">
        <v>20285006</v>
      </c>
      <c r="E40" s="75">
        <v>2436</v>
      </c>
      <c r="F40" s="75" t="s">
        <v>677</v>
      </c>
      <c r="G40" s="85">
        <f>'CGN96.001 '!E237</f>
        <v>395899</v>
      </c>
      <c r="H40" s="85">
        <v>82514</v>
      </c>
    </row>
    <row r="41" spans="1:8" ht="9">
      <c r="A41" s="75">
        <v>1422</v>
      </c>
      <c r="B41" s="75" t="s">
        <v>669</v>
      </c>
      <c r="C41" s="85">
        <f>'CGN96.001 '!E49</f>
        <v>434</v>
      </c>
      <c r="D41" s="85">
        <v>0</v>
      </c>
      <c r="E41" s="75">
        <v>2437</v>
      </c>
      <c r="F41" s="75" t="s">
        <v>678</v>
      </c>
      <c r="G41" s="85">
        <f>'CGN96.001 '!E248</f>
        <v>25793</v>
      </c>
      <c r="H41" s="85">
        <v>5312</v>
      </c>
    </row>
    <row r="42" spans="1:8" ht="9">
      <c r="A42" s="75">
        <v>1425</v>
      </c>
      <c r="B42" s="75" t="s">
        <v>671</v>
      </c>
      <c r="C42" s="85">
        <v>0</v>
      </c>
      <c r="D42" s="85">
        <v>0</v>
      </c>
      <c r="E42" s="75">
        <v>2440</v>
      </c>
      <c r="F42" s="75" t="s">
        <v>680</v>
      </c>
      <c r="G42" s="85">
        <f>'CGN96.001 '!E250</f>
        <v>45</v>
      </c>
      <c r="H42" s="85">
        <v>6827</v>
      </c>
    </row>
    <row r="43" spans="1:8" ht="9">
      <c r="A43" s="75">
        <v>1470</v>
      </c>
      <c r="B43" s="75" t="s">
        <v>55</v>
      </c>
      <c r="C43" s="85">
        <f>'CGN96.001 '!E54</f>
        <v>5462498</v>
      </c>
      <c r="D43" s="85">
        <v>150281</v>
      </c>
      <c r="E43" s="75">
        <v>2445</v>
      </c>
      <c r="F43" s="75" t="s">
        <v>682</v>
      </c>
      <c r="G43" s="85">
        <v>0</v>
      </c>
      <c r="H43" s="85">
        <v>0</v>
      </c>
    </row>
    <row r="44" spans="1:8" ht="9">
      <c r="A44" s="75">
        <v>1475</v>
      </c>
      <c r="B44" s="75" t="s">
        <v>674</v>
      </c>
      <c r="C44" s="85">
        <v>0</v>
      </c>
      <c r="D44" s="85">
        <v>0</v>
      </c>
      <c r="E44" s="75">
        <v>2450</v>
      </c>
      <c r="F44" s="75" t="s">
        <v>684</v>
      </c>
      <c r="G44" s="85">
        <v>0</v>
      </c>
      <c r="H44" s="85">
        <v>0</v>
      </c>
    </row>
    <row r="45" spans="1:8" ht="9">
      <c r="A45" s="75">
        <v>1480</v>
      </c>
      <c r="B45" s="75" t="s">
        <v>676</v>
      </c>
      <c r="C45" s="85">
        <f>'CGN96.001 '!E59</f>
        <v>-52620</v>
      </c>
      <c r="D45" s="85">
        <v>0</v>
      </c>
      <c r="E45" s="75">
        <v>2455</v>
      </c>
      <c r="F45" s="75" t="s">
        <v>686</v>
      </c>
      <c r="G45" s="85">
        <f>'CGN96.001 '!E256</f>
        <v>44753</v>
      </c>
      <c r="H45" s="85">
        <v>150</v>
      </c>
    </row>
    <row r="46" spans="5:8" ht="9">
      <c r="E46" s="75">
        <v>2460</v>
      </c>
      <c r="F46" s="75" t="s">
        <v>688</v>
      </c>
      <c r="G46" s="85">
        <v>0</v>
      </c>
      <c r="H46" s="85">
        <v>0</v>
      </c>
    </row>
    <row r="47" spans="1:8" ht="9">
      <c r="A47" s="75">
        <v>15</v>
      </c>
      <c r="B47" s="83" t="s">
        <v>229</v>
      </c>
      <c r="C47" s="84">
        <f>SUM(C48:C55)</f>
        <v>0</v>
      </c>
      <c r="D47" s="84">
        <f>SUM(D48:D55)</f>
        <v>0</v>
      </c>
      <c r="E47" s="75">
        <v>2465</v>
      </c>
      <c r="F47" s="75" t="s">
        <v>690</v>
      </c>
      <c r="G47" s="85">
        <v>0</v>
      </c>
      <c r="H47" s="85">
        <v>0</v>
      </c>
    </row>
    <row r="48" spans="1:8" ht="9">
      <c r="A48" s="75">
        <v>1505</v>
      </c>
      <c r="B48" s="75" t="s">
        <v>679</v>
      </c>
      <c r="C48" s="85">
        <v>0</v>
      </c>
      <c r="D48" s="85">
        <v>0</v>
      </c>
      <c r="E48" s="75">
        <v>2490</v>
      </c>
      <c r="F48" s="75" t="s">
        <v>692</v>
      </c>
      <c r="G48" s="85">
        <v>0</v>
      </c>
      <c r="H48" s="85">
        <v>0</v>
      </c>
    </row>
    <row r="49" spans="1:4" ht="9">
      <c r="A49" s="75">
        <v>1510</v>
      </c>
      <c r="B49" s="75" t="s">
        <v>681</v>
      </c>
      <c r="C49" s="85">
        <v>0</v>
      </c>
      <c r="D49" s="85">
        <v>0</v>
      </c>
    </row>
    <row r="50" spans="1:8" ht="9">
      <c r="A50" s="75">
        <v>1515</v>
      </c>
      <c r="B50" s="75" t="s">
        <v>683</v>
      </c>
      <c r="C50" s="85">
        <v>0</v>
      </c>
      <c r="D50" s="85">
        <v>0</v>
      </c>
      <c r="E50" s="75">
        <v>25</v>
      </c>
      <c r="F50" s="83" t="s">
        <v>694</v>
      </c>
      <c r="G50" s="84">
        <f>SUM(G52:G53)</f>
        <v>277006</v>
      </c>
      <c r="H50" s="84">
        <f>SUM(H52:H53)</f>
        <v>69770</v>
      </c>
    </row>
    <row r="51" spans="1:8" ht="9">
      <c r="A51" s="75">
        <v>1519</v>
      </c>
      <c r="B51" s="75" t="s">
        <v>685</v>
      </c>
      <c r="C51" s="85">
        <v>0</v>
      </c>
      <c r="D51" s="85">
        <v>0</v>
      </c>
      <c r="F51" s="83"/>
      <c r="G51" s="84"/>
      <c r="H51" s="84"/>
    </row>
    <row r="52" spans="1:8" ht="9">
      <c r="A52" s="75">
        <v>1520</v>
      </c>
      <c r="B52" s="75" t="s">
        <v>687</v>
      </c>
      <c r="C52" s="85">
        <v>0</v>
      </c>
      <c r="D52" s="85">
        <v>0</v>
      </c>
      <c r="E52" s="75">
        <v>2505</v>
      </c>
      <c r="F52" s="75" t="s">
        <v>696</v>
      </c>
      <c r="G52" s="85">
        <f>'CGN96.001 '!E262</f>
        <v>277006</v>
      </c>
      <c r="H52" s="85">
        <v>69770</v>
      </c>
    </row>
    <row r="53" spans="1:8" ht="9">
      <c r="A53" s="75">
        <v>1525</v>
      </c>
      <c r="B53" s="75" t="s">
        <v>689</v>
      </c>
      <c r="C53" s="85">
        <v>0</v>
      </c>
      <c r="D53" s="85">
        <v>0</v>
      </c>
      <c r="E53" s="75">
        <v>2510</v>
      </c>
      <c r="F53" s="75" t="s">
        <v>698</v>
      </c>
      <c r="G53" s="85">
        <v>0</v>
      </c>
      <c r="H53" s="85">
        <v>0</v>
      </c>
    </row>
    <row r="54" spans="1:4" ht="9">
      <c r="A54" s="75">
        <v>1530</v>
      </c>
      <c r="B54" s="75" t="s">
        <v>691</v>
      </c>
      <c r="C54" s="85">
        <v>0</v>
      </c>
      <c r="D54" s="85">
        <v>0</v>
      </c>
    </row>
    <row r="55" spans="1:8" ht="9">
      <c r="A55" s="75">
        <v>1580</v>
      </c>
      <c r="B55" s="75" t="s">
        <v>693</v>
      </c>
      <c r="C55" s="85">
        <v>0</v>
      </c>
      <c r="D55" s="85">
        <v>0</v>
      </c>
      <c r="E55" s="75">
        <v>26</v>
      </c>
      <c r="F55" s="83" t="s">
        <v>701</v>
      </c>
      <c r="G55" s="84">
        <f>SUM(G57:G61)</f>
        <v>0</v>
      </c>
      <c r="H55" s="84">
        <f>SUM(H57:H61)</f>
        <v>0</v>
      </c>
    </row>
    <row r="56" spans="6:8" ht="9">
      <c r="F56" s="83"/>
      <c r="G56" s="84"/>
      <c r="H56" s="84"/>
    </row>
    <row r="57" spans="5:8" ht="9">
      <c r="E57" s="75">
        <v>2605</v>
      </c>
      <c r="F57" s="75" t="s">
        <v>703</v>
      </c>
      <c r="G57" s="85">
        <v>0</v>
      </c>
      <c r="H57" s="85">
        <v>0</v>
      </c>
    </row>
    <row r="58" spans="1:8" ht="9">
      <c r="A58" s="75">
        <v>19</v>
      </c>
      <c r="B58" s="83" t="s">
        <v>235</v>
      </c>
      <c r="C58" s="84">
        <f>SUM(C59:C79)</f>
        <v>108225</v>
      </c>
      <c r="D58" s="84">
        <f>SUM(D59:D79)</f>
        <v>111830</v>
      </c>
      <c r="E58" s="75">
        <v>2610</v>
      </c>
      <c r="F58" s="75" t="s">
        <v>705</v>
      </c>
      <c r="G58" s="85">
        <v>0</v>
      </c>
      <c r="H58" s="85">
        <v>0</v>
      </c>
    </row>
    <row r="59" spans="1:8" ht="9">
      <c r="A59" s="75">
        <v>1905</v>
      </c>
      <c r="B59" s="75" t="s">
        <v>695</v>
      </c>
      <c r="C59" s="85">
        <f>'CGN96.001 '!E130</f>
        <v>108225</v>
      </c>
      <c r="D59" s="85">
        <v>111830</v>
      </c>
      <c r="E59" s="75">
        <v>2615</v>
      </c>
      <c r="F59" s="75" t="s">
        <v>707</v>
      </c>
      <c r="G59" s="85">
        <v>0</v>
      </c>
      <c r="H59" s="85">
        <v>0</v>
      </c>
    </row>
    <row r="60" spans="1:8" ht="9">
      <c r="A60" s="75">
        <v>1910</v>
      </c>
      <c r="B60" s="75" t="s">
        <v>697</v>
      </c>
      <c r="C60" s="85">
        <v>0</v>
      </c>
      <c r="D60" s="85">
        <v>0</v>
      </c>
      <c r="E60" s="75">
        <v>2620</v>
      </c>
      <c r="F60" s="75" t="s">
        <v>709</v>
      </c>
      <c r="G60" s="85">
        <v>0</v>
      </c>
      <c r="H60" s="85">
        <v>0</v>
      </c>
    </row>
    <row r="61" spans="1:8" ht="9">
      <c r="A61" s="75">
        <v>1915</v>
      </c>
      <c r="B61" s="75" t="s">
        <v>699</v>
      </c>
      <c r="C61" s="85">
        <v>0</v>
      </c>
      <c r="D61" s="85">
        <v>0</v>
      </c>
      <c r="E61" s="75">
        <v>2690</v>
      </c>
      <c r="F61" s="75" t="s">
        <v>711</v>
      </c>
      <c r="G61" s="85">
        <v>0</v>
      </c>
      <c r="H61" s="85">
        <v>0</v>
      </c>
    </row>
    <row r="62" spans="1:4" ht="9">
      <c r="A62" s="75">
        <v>1920</v>
      </c>
      <c r="B62" s="75" t="s">
        <v>700</v>
      </c>
      <c r="C62" s="85">
        <v>0</v>
      </c>
      <c r="D62" s="85">
        <v>0</v>
      </c>
    </row>
    <row r="63" spans="1:8" ht="9">
      <c r="A63" s="75">
        <v>1925</v>
      </c>
      <c r="B63" s="75" t="s">
        <v>702</v>
      </c>
      <c r="C63" s="85">
        <v>0</v>
      </c>
      <c r="D63" s="85">
        <v>0</v>
      </c>
      <c r="E63" s="75">
        <v>27</v>
      </c>
      <c r="F63" s="83" t="s">
        <v>715</v>
      </c>
      <c r="G63" s="84">
        <f>SUM(G65:G70)</f>
        <v>0</v>
      </c>
      <c r="H63" s="84">
        <f>SUM(H65:H70)</f>
        <v>574139</v>
      </c>
    </row>
    <row r="64" spans="1:8" ht="9">
      <c r="A64" s="75">
        <v>1926</v>
      </c>
      <c r="B64" s="75" t="s">
        <v>704</v>
      </c>
      <c r="C64" s="85">
        <v>0</v>
      </c>
      <c r="D64" s="85">
        <v>0</v>
      </c>
      <c r="F64" s="83"/>
      <c r="G64" s="84"/>
      <c r="H64" s="84"/>
    </row>
    <row r="65" spans="1:8" ht="9">
      <c r="A65" s="75">
        <v>1930</v>
      </c>
      <c r="B65" s="75" t="s">
        <v>706</v>
      </c>
      <c r="C65" s="85">
        <v>0</v>
      </c>
      <c r="D65" s="85">
        <v>0</v>
      </c>
      <c r="E65" s="75">
        <v>2705</v>
      </c>
      <c r="F65" s="75" t="s">
        <v>717</v>
      </c>
      <c r="G65" s="85">
        <v>0</v>
      </c>
      <c r="H65" s="85">
        <v>0</v>
      </c>
    </row>
    <row r="66" spans="1:8" ht="9">
      <c r="A66" s="75">
        <v>1935</v>
      </c>
      <c r="B66" s="75" t="s">
        <v>708</v>
      </c>
      <c r="C66" s="85">
        <v>0</v>
      </c>
      <c r="D66" s="85">
        <v>0</v>
      </c>
      <c r="E66" s="75">
        <v>2710</v>
      </c>
      <c r="F66" s="75" t="s">
        <v>719</v>
      </c>
      <c r="G66" s="85">
        <v>0</v>
      </c>
      <c r="H66" s="85">
        <v>0</v>
      </c>
    </row>
    <row r="67" spans="1:8" ht="9">
      <c r="A67" s="75">
        <v>1940</v>
      </c>
      <c r="B67" s="75" t="s">
        <v>710</v>
      </c>
      <c r="C67" s="85">
        <v>0</v>
      </c>
      <c r="D67" s="85">
        <v>0</v>
      </c>
      <c r="E67" s="75">
        <v>2715</v>
      </c>
      <c r="F67" s="75" t="s">
        <v>721</v>
      </c>
      <c r="G67" s="85">
        <v>0</v>
      </c>
      <c r="H67" s="85">
        <v>574139</v>
      </c>
    </row>
    <row r="68" spans="1:8" ht="9">
      <c r="A68" s="75">
        <v>1941</v>
      </c>
      <c r="B68" s="75" t="s">
        <v>712</v>
      </c>
      <c r="C68" s="85">
        <v>0</v>
      </c>
      <c r="D68" s="85">
        <v>0</v>
      </c>
      <c r="E68" s="75">
        <v>2720</v>
      </c>
      <c r="F68" s="75" t="s">
        <v>723</v>
      </c>
      <c r="G68" s="85">
        <v>0</v>
      </c>
      <c r="H68" s="85">
        <v>0</v>
      </c>
    </row>
    <row r="69" spans="1:8" ht="9">
      <c r="A69" s="75">
        <v>1942</v>
      </c>
      <c r="B69" s="75" t="s">
        <v>713</v>
      </c>
      <c r="C69" s="85">
        <v>0</v>
      </c>
      <c r="D69" s="85">
        <v>0</v>
      </c>
      <c r="E69" s="75">
        <v>2725</v>
      </c>
      <c r="F69" s="75" t="s">
        <v>725</v>
      </c>
      <c r="G69" s="85">
        <v>0</v>
      </c>
      <c r="H69" s="85">
        <v>0</v>
      </c>
    </row>
    <row r="70" spans="1:8" ht="9">
      <c r="A70" s="75">
        <v>1943</v>
      </c>
      <c r="B70" s="75" t="s">
        <v>714</v>
      </c>
      <c r="C70" s="85">
        <v>0</v>
      </c>
      <c r="D70" s="85">
        <v>0</v>
      </c>
      <c r="E70" s="75">
        <v>2790</v>
      </c>
      <c r="F70" s="75" t="s">
        <v>726</v>
      </c>
      <c r="G70" s="85">
        <v>0</v>
      </c>
      <c r="H70" s="85">
        <v>0</v>
      </c>
    </row>
    <row r="71" spans="1:4" ht="9">
      <c r="A71" s="75">
        <v>1945</v>
      </c>
      <c r="B71" s="75" t="s">
        <v>716</v>
      </c>
      <c r="C71" s="85">
        <v>0</v>
      </c>
      <c r="D71" s="85">
        <v>0</v>
      </c>
    </row>
    <row r="72" spans="1:8" ht="9">
      <c r="A72" s="75">
        <v>1950</v>
      </c>
      <c r="B72" s="75" t="s">
        <v>718</v>
      </c>
      <c r="C72" s="85">
        <v>0</v>
      </c>
      <c r="D72" s="85">
        <v>0</v>
      </c>
      <c r="E72" s="75">
        <v>29</v>
      </c>
      <c r="F72" s="83" t="s">
        <v>730</v>
      </c>
      <c r="G72" s="84">
        <f>SUM(G74:G78)</f>
        <v>630191</v>
      </c>
      <c r="H72" s="84">
        <f>SUM(H74:H77)</f>
        <v>39165</v>
      </c>
    </row>
    <row r="73" spans="1:8" ht="9">
      <c r="A73" s="75">
        <v>1955</v>
      </c>
      <c r="B73" s="75" t="s">
        <v>720</v>
      </c>
      <c r="C73" s="85">
        <v>0</v>
      </c>
      <c r="D73" s="85">
        <v>0</v>
      </c>
      <c r="F73" s="83"/>
      <c r="G73" s="84"/>
      <c r="H73" s="84"/>
    </row>
    <row r="74" spans="1:8" ht="9">
      <c r="A74" s="75">
        <v>1960</v>
      </c>
      <c r="B74" s="75" t="s">
        <v>722</v>
      </c>
      <c r="C74" s="85">
        <v>0</v>
      </c>
      <c r="D74" s="85">
        <v>0</v>
      </c>
      <c r="E74" s="75">
        <v>2905</v>
      </c>
      <c r="F74" s="75" t="s">
        <v>731</v>
      </c>
      <c r="G74" s="85">
        <f>'CGN96.001 '!E281</f>
        <v>7166</v>
      </c>
      <c r="H74" s="85">
        <v>0</v>
      </c>
    </row>
    <row r="75" spans="1:8" ht="9">
      <c r="A75" s="75">
        <v>1965</v>
      </c>
      <c r="B75" s="75" t="s">
        <v>724</v>
      </c>
      <c r="C75" s="85">
        <v>0</v>
      </c>
      <c r="D75" s="85">
        <v>0</v>
      </c>
      <c r="E75" s="75">
        <v>2910</v>
      </c>
      <c r="F75" s="75" t="s">
        <v>733</v>
      </c>
      <c r="G75" s="85">
        <f>'CGN96.001 '!E285</f>
        <v>598331</v>
      </c>
      <c r="H75" s="85">
        <v>39165</v>
      </c>
    </row>
    <row r="76" spans="1:8" ht="9">
      <c r="A76" s="75">
        <v>1970</v>
      </c>
      <c r="B76" s="75" t="s">
        <v>441</v>
      </c>
      <c r="C76" s="85">
        <v>0</v>
      </c>
      <c r="D76" s="85">
        <v>0</v>
      </c>
      <c r="E76" s="75">
        <v>2915</v>
      </c>
      <c r="F76" s="75" t="s">
        <v>735</v>
      </c>
      <c r="G76" s="85">
        <v>0</v>
      </c>
      <c r="H76" s="85">
        <v>0</v>
      </c>
    </row>
    <row r="77" spans="1:8" ht="9">
      <c r="A77" s="75">
        <v>1975</v>
      </c>
      <c r="B77" s="75" t="s">
        <v>727</v>
      </c>
      <c r="C77" s="85">
        <v>0</v>
      </c>
      <c r="D77" s="85">
        <v>0</v>
      </c>
      <c r="E77" s="75">
        <v>2920</v>
      </c>
      <c r="F77" s="75" t="s">
        <v>736</v>
      </c>
      <c r="G77" s="85">
        <v>0</v>
      </c>
      <c r="H77" s="85">
        <v>0</v>
      </c>
    </row>
    <row r="78" spans="1:8" ht="9">
      <c r="A78" s="75">
        <v>1995</v>
      </c>
      <c r="B78" s="75" t="s">
        <v>728</v>
      </c>
      <c r="C78" s="85">
        <v>0</v>
      </c>
      <c r="D78" s="85">
        <v>0</v>
      </c>
      <c r="E78" s="75">
        <v>2996</v>
      </c>
      <c r="F78" s="75" t="s">
        <v>952</v>
      </c>
      <c r="G78" s="85">
        <f>'CGN96.001 '!E288</f>
        <v>24694</v>
      </c>
      <c r="H78" s="85">
        <v>0</v>
      </c>
    </row>
    <row r="79" spans="1:4" ht="9">
      <c r="A79" s="75">
        <v>1999</v>
      </c>
      <c r="B79" s="75" t="s">
        <v>729</v>
      </c>
      <c r="C79" s="85">
        <v>0</v>
      </c>
      <c r="D79" s="85">
        <v>0</v>
      </c>
    </row>
    <row r="81" ht="9">
      <c r="B81" s="83" t="s">
        <v>732</v>
      </c>
    </row>
    <row r="82" spans="2:4" ht="9">
      <c r="B82" s="83" t="s">
        <v>734</v>
      </c>
      <c r="C82" s="84">
        <v>0</v>
      </c>
      <c r="D82" s="84">
        <v>0</v>
      </c>
    </row>
    <row r="85" spans="1:8" ht="9">
      <c r="A85" s="85"/>
      <c r="B85" s="83" t="s">
        <v>737</v>
      </c>
      <c r="C85" s="84">
        <f>C87+C95+C101+C113+C138+C146+C155+C182</f>
        <v>120745742</v>
      </c>
      <c r="D85" s="84">
        <f>D87+D95+D101+D113+D138+D146+D155+D182</f>
        <v>184767580</v>
      </c>
      <c r="F85" s="83" t="s">
        <v>738</v>
      </c>
      <c r="G85" s="84">
        <f>G87+G93+G98+G116+G121+G129+G137+G144</f>
        <v>0</v>
      </c>
      <c r="H85" s="84">
        <f>H87+H93+H98+H116+H121+H129+H137+H144</f>
        <v>1959853</v>
      </c>
    </row>
    <row r="86" spans="1:2" ht="9">
      <c r="A86" s="85"/>
      <c r="B86" s="83"/>
    </row>
    <row r="87" spans="1:8" ht="9">
      <c r="A87" s="75">
        <v>12</v>
      </c>
      <c r="B87" s="83" t="s">
        <v>641</v>
      </c>
      <c r="C87" s="84">
        <f>SUM(C89:C93)</f>
        <v>0</v>
      </c>
      <c r="D87" s="84">
        <f>SUM(D89:D93)</f>
        <v>2333307</v>
      </c>
      <c r="E87" s="75">
        <v>22</v>
      </c>
      <c r="F87" s="83" t="s">
        <v>642</v>
      </c>
      <c r="G87" s="84">
        <f>SUM(G89:G90)</f>
        <v>0</v>
      </c>
      <c r="H87" s="84">
        <f>SUM(H89:H90)</f>
        <v>0</v>
      </c>
    </row>
    <row r="88" spans="2:6" ht="9">
      <c r="B88" s="83"/>
      <c r="C88" s="84"/>
      <c r="D88" s="84"/>
      <c r="F88" s="83"/>
    </row>
    <row r="89" spans="1:8" ht="9">
      <c r="A89" s="75">
        <v>1207</v>
      </c>
      <c r="B89" s="75" t="s">
        <v>739</v>
      </c>
      <c r="C89" s="85">
        <v>0</v>
      </c>
      <c r="D89" s="85">
        <v>0</v>
      </c>
      <c r="E89" s="75">
        <v>2205</v>
      </c>
      <c r="F89" s="75" t="s">
        <v>645</v>
      </c>
      <c r="G89" s="85">
        <v>0</v>
      </c>
      <c r="H89" s="85">
        <v>0</v>
      </c>
    </row>
    <row r="90" spans="1:8" ht="9">
      <c r="A90" s="75">
        <v>1208</v>
      </c>
      <c r="B90" s="75" t="s">
        <v>740</v>
      </c>
      <c r="C90" s="85">
        <f>'CGN96.001 '!E29</f>
        <v>0</v>
      </c>
      <c r="D90" s="85">
        <v>2333307</v>
      </c>
      <c r="E90" s="75">
        <v>2210</v>
      </c>
      <c r="F90" s="75" t="s">
        <v>742</v>
      </c>
      <c r="G90" s="85">
        <v>0</v>
      </c>
      <c r="H90" s="85">
        <v>0</v>
      </c>
    </row>
    <row r="91" spans="1:4" ht="9">
      <c r="A91" s="75">
        <v>1210</v>
      </c>
      <c r="B91" s="75" t="s">
        <v>741</v>
      </c>
      <c r="C91" s="85">
        <v>0</v>
      </c>
      <c r="D91" s="85">
        <v>0</v>
      </c>
    </row>
    <row r="92" spans="1:4" ht="9">
      <c r="A92" s="75">
        <v>1215</v>
      </c>
      <c r="B92" s="75" t="s">
        <v>743</v>
      </c>
      <c r="C92" s="85">
        <v>0</v>
      </c>
      <c r="D92" s="85">
        <v>0</v>
      </c>
    </row>
    <row r="93" spans="1:8" ht="9">
      <c r="A93" s="75">
        <v>1280</v>
      </c>
      <c r="B93" s="75" t="s">
        <v>744</v>
      </c>
      <c r="C93" s="85">
        <v>0</v>
      </c>
      <c r="D93" s="85">
        <v>0</v>
      </c>
      <c r="E93" s="75">
        <v>23</v>
      </c>
      <c r="F93" s="83" t="s">
        <v>650</v>
      </c>
      <c r="G93" s="84">
        <f>SUM(G95:G96)</f>
        <v>0</v>
      </c>
      <c r="H93" s="84">
        <f>SUM(H95:H96)</f>
        <v>0</v>
      </c>
    </row>
    <row r="94" spans="6:8" ht="9">
      <c r="F94" s="83"/>
      <c r="G94" s="84"/>
      <c r="H94" s="84"/>
    </row>
    <row r="95" spans="1:8" ht="9">
      <c r="A95" s="75">
        <v>13</v>
      </c>
      <c r="B95" s="83" t="s">
        <v>649</v>
      </c>
      <c r="C95" s="84">
        <f>SUM(C97:C99)</f>
        <v>0</v>
      </c>
      <c r="D95" s="84">
        <f>SUM(D97:D99)</f>
        <v>0</v>
      </c>
      <c r="E95" s="75">
        <v>2305</v>
      </c>
      <c r="F95" s="75" t="s">
        <v>745</v>
      </c>
      <c r="G95" s="85">
        <v>0</v>
      </c>
      <c r="H95" s="85">
        <v>0</v>
      </c>
    </row>
    <row r="96" spans="2:8" ht="9">
      <c r="B96" s="83"/>
      <c r="C96" s="84"/>
      <c r="D96" s="84"/>
      <c r="E96" s="75">
        <v>2310</v>
      </c>
      <c r="F96" s="75" t="s">
        <v>654</v>
      </c>
      <c r="G96" s="85">
        <v>0</v>
      </c>
      <c r="H96" s="85">
        <v>0</v>
      </c>
    </row>
    <row r="97" spans="1:4" ht="9">
      <c r="A97" s="75">
        <v>1310</v>
      </c>
      <c r="B97" s="75" t="s">
        <v>653</v>
      </c>
      <c r="C97" s="85">
        <v>0</v>
      </c>
      <c r="D97" s="85">
        <v>0</v>
      </c>
    </row>
    <row r="98" spans="1:8" ht="9">
      <c r="A98" s="75">
        <v>1315</v>
      </c>
      <c r="B98" s="75" t="s">
        <v>655</v>
      </c>
      <c r="C98" s="85">
        <v>0</v>
      </c>
      <c r="D98" s="85">
        <v>0</v>
      </c>
      <c r="E98" s="75">
        <v>24</v>
      </c>
      <c r="F98" s="83" t="s">
        <v>657</v>
      </c>
      <c r="G98" s="84">
        <f>SUM(G100:G114)</f>
        <v>0</v>
      </c>
      <c r="H98" s="84">
        <f>SUM(H100:H114)</f>
        <v>0</v>
      </c>
    </row>
    <row r="99" spans="1:8" ht="9">
      <c r="A99" s="75">
        <v>1380</v>
      </c>
      <c r="B99" s="75" t="s">
        <v>656</v>
      </c>
      <c r="C99" s="85">
        <v>0</v>
      </c>
      <c r="D99" s="85">
        <v>0</v>
      </c>
      <c r="F99" s="83"/>
      <c r="G99" s="84"/>
      <c r="H99" s="84"/>
    </row>
    <row r="100" spans="5:8" ht="9">
      <c r="E100" s="75">
        <v>2405</v>
      </c>
      <c r="F100" s="75" t="s">
        <v>748</v>
      </c>
      <c r="G100" s="85">
        <v>0</v>
      </c>
      <c r="H100" s="85">
        <v>0</v>
      </c>
    </row>
    <row r="101" spans="1:8" ht="9">
      <c r="A101" s="75">
        <v>14</v>
      </c>
      <c r="B101" s="83" t="s">
        <v>658</v>
      </c>
      <c r="C101" s="84">
        <f>SUM(C103:C111)</f>
        <v>114478439</v>
      </c>
      <c r="D101" s="84">
        <f>SUM(D103:D111)</f>
        <v>63746929</v>
      </c>
      <c r="E101" s="75">
        <v>2410</v>
      </c>
      <c r="F101" s="75" t="s">
        <v>664</v>
      </c>
      <c r="G101" s="85">
        <v>0</v>
      </c>
      <c r="H101" s="85">
        <v>0</v>
      </c>
    </row>
    <row r="102" spans="2:8" ht="9">
      <c r="B102" s="83"/>
      <c r="C102" s="84"/>
      <c r="D102" s="84"/>
      <c r="E102" s="75">
        <v>2415</v>
      </c>
      <c r="F102" s="75" t="s">
        <v>666</v>
      </c>
      <c r="G102" s="85">
        <v>0</v>
      </c>
      <c r="H102" s="85">
        <v>0</v>
      </c>
    </row>
    <row r="103" spans="1:8" ht="9">
      <c r="A103" s="75">
        <v>1405</v>
      </c>
      <c r="B103" s="75" t="s">
        <v>746</v>
      </c>
      <c r="C103" s="85">
        <v>0</v>
      </c>
      <c r="D103" s="85">
        <v>0</v>
      </c>
      <c r="E103" s="75">
        <v>2420</v>
      </c>
      <c r="F103" s="75" t="s">
        <v>668</v>
      </c>
      <c r="G103" s="85">
        <v>0</v>
      </c>
      <c r="H103" s="85">
        <v>0</v>
      </c>
    </row>
    <row r="104" spans="1:8" ht="9">
      <c r="A104" s="75">
        <v>1410</v>
      </c>
      <c r="B104" s="75" t="s">
        <v>747</v>
      </c>
      <c r="C104" s="85">
        <v>0</v>
      </c>
      <c r="D104" s="85">
        <v>0</v>
      </c>
      <c r="E104" s="75">
        <v>2425</v>
      </c>
      <c r="F104" s="75" t="s">
        <v>672</v>
      </c>
      <c r="G104" s="85">
        <v>0</v>
      </c>
      <c r="H104" s="85">
        <v>0</v>
      </c>
    </row>
    <row r="105" spans="1:8" ht="9">
      <c r="A105" s="75">
        <v>1415</v>
      </c>
      <c r="B105" s="75" t="s">
        <v>665</v>
      </c>
      <c r="C105" s="85">
        <v>0</v>
      </c>
      <c r="D105" s="85">
        <v>0</v>
      </c>
      <c r="E105" s="75">
        <v>2430</v>
      </c>
      <c r="F105" s="75" t="s">
        <v>750</v>
      </c>
      <c r="G105" s="85">
        <v>0</v>
      </c>
      <c r="H105" s="85">
        <v>0</v>
      </c>
    </row>
    <row r="106" spans="1:8" ht="9">
      <c r="A106" s="75">
        <v>1420</v>
      </c>
      <c r="B106" s="75" t="s">
        <v>667</v>
      </c>
      <c r="C106" s="85">
        <v>0</v>
      </c>
      <c r="D106" s="85">
        <v>0</v>
      </c>
      <c r="E106" s="75">
        <v>2436</v>
      </c>
      <c r="F106" s="75" t="s">
        <v>751</v>
      </c>
      <c r="G106" s="85">
        <v>0</v>
      </c>
      <c r="H106" s="85">
        <v>0</v>
      </c>
    </row>
    <row r="107" spans="1:8" ht="9">
      <c r="A107" s="75">
        <v>1422</v>
      </c>
      <c r="B107" s="75" t="s">
        <v>749</v>
      </c>
      <c r="C107" s="85">
        <v>0</v>
      </c>
      <c r="D107" s="85">
        <v>0</v>
      </c>
      <c r="E107" s="75">
        <v>2437</v>
      </c>
      <c r="F107" s="75" t="s">
        <v>675</v>
      </c>
      <c r="G107" s="85">
        <v>0</v>
      </c>
      <c r="H107" s="85">
        <v>0</v>
      </c>
    </row>
    <row r="108" spans="1:8" ht="9">
      <c r="A108" s="75">
        <v>1425</v>
      </c>
      <c r="B108" s="75" t="s">
        <v>671</v>
      </c>
      <c r="C108" s="85">
        <f>'CGN96.001 '!E51</f>
        <v>114478439</v>
      </c>
      <c r="D108" s="85">
        <v>63741724</v>
      </c>
      <c r="E108" s="75">
        <v>2440</v>
      </c>
      <c r="F108" s="75" t="s">
        <v>752</v>
      </c>
      <c r="G108" s="85">
        <v>0</v>
      </c>
      <c r="H108" s="85">
        <v>0</v>
      </c>
    </row>
    <row r="109" spans="1:8" ht="9">
      <c r="A109" s="75">
        <v>1470</v>
      </c>
      <c r="B109" s="75" t="s">
        <v>55</v>
      </c>
      <c r="C109" s="85">
        <v>0</v>
      </c>
      <c r="D109" s="85">
        <v>5205</v>
      </c>
      <c r="E109" s="75">
        <v>2445</v>
      </c>
      <c r="F109" s="75" t="s">
        <v>682</v>
      </c>
      <c r="G109" s="85">
        <v>0</v>
      </c>
      <c r="H109" s="85">
        <v>0</v>
      </c>
    </row>
    <row r="110" spans="1:8" ht="9">
      <c r="A110" s="75">
        <v>1475</v>
      </c>
      <c r="B110" s="75" t="s">
        <v>674</v>
      </c>
      <c r="C110" s="85">
        <v>0</v>
      </c>
      <c r="D110" s="85">
        <v>0</v>
      </c>
      <c r="E110" s="75">
        <v>2450</v>
      </c>
      <c r="F110" s="75" t="s">
        <v>684</v>
      </c>
      <c r="G110" s="85">
        <v>0</v>
      </c>
      <c r="H110" s="85">
        <v>0</v>
      </c>
    </row>
    <row r="111" spans="1:8" ht="9">
      <c r="A111" s="75">
        <v>1480</v>
      </c>
      <c r="B111" s="75" t="s">
        <v>676</v>
      </c>
      <c r="C111" s="85">
        <v>0</v>
      </c>
      <c r="D111" s="85">
        <v>0</v>
      </c>
      <c r="E111" s="75">
        <v>2455</v>
      </c>
      <c r="F111" s="75" t="s">
        <v>755</v>
      </c>
      <c r="G111" s="85">
        <v>0</v>
      </c>
      <c r="H111" s="85">
        <v>0</v>
      </c>
    </row>
    <row r="112" spans="5:8" ht="9">
      <c r="E112" s="75">
        <v>2460</v>
      </c>
      <c r="F112" s="75" t="s">
        <v>688</v>
      </c>
      <c r="G112" s="85">
        <v>0</v>
      </c>
      <c r="H112" s="85">
        <v>0</v>
      </c>
    </row>
    <row r="113" spans="1:8" ht="9">
      <c r="A113" s="75">
        <v>16</v>
      </c>
      <c r="B113" s="83" t="s">
        <v>753</v>
      </c>
      <c r="C113" s="84">
        <f>SUM(C115:C136)</f>
        <v>27834893</v>
      </c>
      <c r="D113" s="84">
        <f>SUM(D115:D136)</f>
        <v>25144078</v>
      </c>
      <c r="E113" s="75">
        <v>2465</v>
      </c>
      <c r="F113" s="75" t="s">
        <v>690</v>
      </c>
      <c r="G113" s="85">
        <v>0</v>
      </c>
      <c r="H113" s="85">
        <v>0</v>
      </c>
    </row>
    <row r="114" spans="2:8" ht="9">
      <c r="B114" s="83"/>
      <c r="C114" s="84"/>
      <c r="D114" s="84"/>
      <c r="E114" s="75">
        <v>2490</v>
      </c>
      <c r="F114" s="75" t="s">
        <v>692</v>
      </c>
      <c r="G114" s="85">
        <v>0</v>
      </c>
      <c r="H114" s="85">
        <v>0</v>
      </c>
    </row>
    <row r="115" spans="1:4" ht="9">
      <c r="A115" s="75">
        <v>1605</v>
      </c>
      <c r="B115" s="75" t="s">
        <v>559</v>
      </c>
      <c r="C115" s="85">
        <f>'CGN96.001 '!E65</f>
        <v>15971316</v>
      </c>
      <c r="D115" s="85">
        <v>13682484</v>
      </c>
    </row>
    <row r="116" spans="1:8" ht="9">
      <c r="A116" s="75">
        <v>1610</v>
      </c>
      <c r="B116" s="75" t="s">
        <v>754</v>
      </c>
      <c r="C116" s="85">
        <v>0</v>
      </c>
      <c r="D116" s="85">
        <v>0</v>
      </c>
      <c r="E116" s="75">
        <v>25</v>
      </c>
      <c r="F116" s="83" t="s">
        <v>762</v>
      </c>
      <c r="G116" s="84">
        <f>SUM(G118:G119)</f>
        <v>0</v>
      </c>
      <c r="H116" s="84">
        <f>SUM(H118:H119)</f>
        <v>0</v>
      </c>
    </row>
    <row r="117" spans="1:8" ht="9">
      <c r="A117" s="75">
        <v>1615</v>
      </c>
      <c r="B117" s="75" t="s">
        <v>756</v>
      </c>
      <c r="C117" s="85">
        <v>0</v>
      </c>
      <c r="D117" s="85">
        <v>0</v>
      </c>
      <c r="F117" s="83"/>
      <c r="G117" s="84"/>
      <c r="H117" s="84"/>
    </row>
    <row r="118" spans="1:8" ht="9">
      <c r="A118" s="75">
        <v>1620</v>
      </c>
      <c r="B118" s="75" t="s">
        <v>757</v>
      </c>
      <c r="C118" s="85">
        <v>0</v>
      </c>
      <c r="D118" s="85">
        <v>0</v>
      </c>
      <c r="E118" s="75">
        <v>2505</v>
      </c>
      <c r="F118" s="75" t="s">
        <v>696</v>
      </c>
      <c r="G118" s="85">
        <v>0</v>
      </c>
      <c r="H118" s="85">
        <v>0</v>
      </c>
    </row>
    <row r="119" spans="1:8" ht="9">
      <c r="A119" s="75">
        <v>1625</v>
      </c>
      <c r="B119" s="75" t="s">
        <v>758</v>
      </c>
      <c r="C119" s="85">
        <v>0</v>
      </c>
      <c r="D119" s="85">
        <v>0</v>
      </c>
      <c r="E119" s="75">
        <v>2510</v>
      </c>
      <c r="F119" s="75" t="s">
        <v>698</v>
      </c>
      <c r="G119" s="85">
        <v>0</v>
      </c>
      <c r="H119" s="85">
        <v>0</v>
      </c>
    </row>
    <row r="120" spans="1:4" ht="9">
      <c r="A120" s="75">
        <v>1630</v>
      </c>
      <c r="B120" s="75" t="s">
        <v>759</v>
      </c>
      <c r="C120" s="85">
        <v>0</v>
      </c>
      <c r="D120" s="85">
        <v>0</v>
      </c>
    </row>
    <row r="121" spans="1:8" ht="9">
      <c r="A121" s="75">
        <v>1635</v>
      </c>
      <c r="B121" s="75" t="s">
        <v>760</v>
      </c>
      <c r="C121" s="85">
        <f>'CGN96.001 '!E76</f>
        <v>298667</v>
      </c>
      <c r="D121" s="85">
        <v>837472</v>
      </c>
      <c r="E121" s="75">
        <v>26</v>
      </c>
      <c r="F121" s="83" t="s">
        <v>701</v>
      </c>
      <c r="G121" s="84">
        <f>SUM(G123:G127)</f>
        <v>0</v>
      </c>
      <c r="H121" s="84">
        <f>SUM(H123:H127)</f>
        <v>0</v>
      </c>
    </row>
    <row r="122" spans="1:8" ht="9">
      <c r="A122" s="75">
        <v>1636</v>
      </c>
      <c r="B122" s="75" t="s">
        <v>761</v>
      </c>
      <c r="C122" s="85">
        <v>0</v>
      </c>
      <c r="D122" s="85">
        <v>0</v>
      </c>
      <c r="F122" s="83"/>
      <c r="G122" s="84"/>
      <c r="H122" s="84"/>
    </row>
    <row r="123" spans="1:8" ht="9">
      <c r="A123" s="75">
        <v>1640</v>
      </c>
      <c r="B123" s="75" t="s">
        <v>101</v>
      </c>
      <c r="C123" s="85">
        <f>'CGN96.001 '!E84</f>
        <v>6642367</v>
      </c>
      <c r="D123" s="85">
        <v>8270140</v>
      </c>
      <c r="E123" s="75">
        <v>2605</v>
      </c>
      <c r="F123" s="75" t="s">
        <v>703</v>
      </c>
      <c r="G123" s="85">
        <v>0</v>
      </c>
      <c r="H123" s="85">
        <v>0</v>
      </c>
    </row>
    <row r="124" spans="1:8" ht="9">
      <c r="A124" s="75">
        <v>1643</v>
      </c>
      <c r="B124" s="75" t="s">
        <v>763</v>
      </c>
      <c r="C124" s="85">
        <v>0</v>
      </c>
      <c r="D124" s="85">
        <v>0</v>
      </c>
      <c r="E124" s="75">
        <v>2610</v>
      </c>
      <c r="F124" s="75" t="s">
        <v>705</v>
      </c>
      <c r="G124" s="85">
        <v>0</v>
      </c>
      <c r="H124" s="85">
        <v>0</v>
      </c>
    </row>
    <row r="125" spans="1:8" ht="9">
      <c r="A125" s="75">
        <v>1645</v>
      </c>
      <c r="B125" s="75" t="s">
        <v>764</v>
      </c>
      <c r="C125" s="85">
        <v>0</v>
      </c>
      <c r="D125" s="85">
        <v>0</v>
      </c>
      <c r="E125" s="75">
        <v>2615</v>
      </c>
      <c r="F125" s="75" t="s">
        <v>707</v>
      </c>
      <c r="G125" s="85">
        <v>0</v>
      </c>
      <c r="H125" s="85">
        <v>0</v>
      </c>
    </row>
    <row r="126" spans="1:8" ht="9">
      <c r="A126" s="75">
        <v>1650</v>
      </c>
      <c r="B126" s="75" t="s">
        <v>765</v>
      </c>
      <c r="C126" s="85">
        <v>0</v>
      </c>
      <c r="D126" s="85">
        <v>0</v>
      </c>
      <c r="E126" s="75">
        <v>2620</v>
      </c>
      <c r="F126" s="75" t="s">
        <v>770</v>
      </c>
      <c r="G126" s="85">
        <v>0</v>
      </c>
      <c r="H126" s="85">
        <v>0</v>
      </c>
    </row>
    <row r="127" spans="1:8" ht="9">
      <c r="A127" s="75">
        <v>1655</v>
      </c>
      <c r="B127" s="75" t="s">
        <v>766</v>
      </c>
      <c r="C127" s="85">
        <f>'CGN96.001 '!E88</f>
        <v>567985</v>
      </c>
      <c r="D127" s="85">
        <v>26718</v>
      </c>
      <c r="E127" s="75">
        <v>2690</v>
      </c>
      <c r="F127" s="75" t="s">
        <v>711</v>
      </c>
      <c r="G127" s="85">
        <v>0</v>
      </c>
      <c r="H127" s="85">
        <v>0</v>
      </c>
    </row>
    <row r="128" spans="1:4" ht="9">
      <c r="A128" s="75">
        <v>1660</v>
      </c>
      <c r="B128" s="75" t="s">
        <v>360</v>
      </c>
      <c r="C128" s="85">
        <f>'CGN96.001 '!E98</f>
        <v>413329</v>
      </c>
      <c r="D128" s="85">
        <v>0</v>
      </c>
    </row>
    <row r="129" spans="1:8" ht="9">
      <c r="A129" s="75">
        <v>1665</v>
      </c>
      <c r="B129" s="75" t="s">
        <v>767</v>
      </c>
      <c r="C129" s="85">
        <f>'CGN96.001 '!E103</f>
        <v>1401417</v>
      </c>
      <c r="D129" s="85">
        <v>1906263</v>
      </c>
      <c r="E129" s="75">
        <v>27</v>
      </c>
      <c r="F129" s="83" t="s">
        <v>715</v>
      </c>
      <c r="G129" s="84">
        <f>SUM(G131:G135)</f>
        <v>0</v>
      </c>
      <c r="H129" s="84">
        <f>SUM(H131:H135)</f>
        <v>1959853</v>
      </c>
    </row>
    <row r="130" spans="1:8" ht="9">
      <c r="A130" s="75">
        <v>1670</v>
      </c>
      <c r="B130" s="75" t="s">
        <v>768</v>
      </c>
      <c r="C130" s="85">
        <f>'CGN96.001 '!E108</f>
        <v>3074850</v>
      </c>
      <c r="D130" s="85">
        <v>2415954</v>
      </c>
      <c r="F130" s="83"/>
      <c r="G130" s="84"/>
      <c r="H130" s="84"/>
    </row>
    <row r="131" spans="1:8" ht="9">
      <c r="A131" s="75">
        <v>1675</v>
      </c>
      <c r="B131" s="75" t="s">
        <v>769</v>
      </c>
      <c r="C131" s="85">
        <f>'CGN96.001 '!E114</f>
        <v>540593</v>
      </c>
      <c r="D131" s="85">
        <v>410017</v>
      </c>
      <c r="E131" s="75">
        <v>2705</v>
      </c>
      <c r="F131" s="75" t="s">
        <v>717</v>
      </c>
      <c r="G131" s="85">
        <v>0</v>
      </c>
      <c r="H131" s="85">
        <v>0</v>
      </c>
    </row>
    <row r="132" spans="1:8" ht="9">
      <c r="A132" s="75">
        <v>1680</v>
      </c>
      <c r="B132" s="75" t="s">
        <v>771</v>
      </c>
      <c r="C132" s="85">
        <f>'CGN96.001 '!E117</f>
        <v>10867</v>
      </c>
      <c r="D132" s="85">
        <v>9655</v>
      </c>
      <c r="E132" s="75">
        <v>2710</v>
      </c>
      <c r="F132" s="75" t="s">
        <v>719</v>
      </c>
      <c r="G132" s="85">
        <v>0</v>
      </c>
      <c r="H132" s="85">
        <v>1959853</v>
      </c>
    </row>
    <row r="133" spans="1:8" ht="9">
      <c r="A133" s="75">
        <v>1685</v>
      </c>
      <c r="B133" s="75" t="s">
        <v>772</v>
      </c>
      <c r="C133" s="85">
        <f>'CGN96.001 '!E120</f>
        <v>-1086498</v>
      </c>
      <c r="D133" s="85">
        <v>-2414625</v>
      </c>
      <c r="E133" s="75">
        <v>2720</v>
      </c>
      <c r="F133" s="75" t="s">
        <v>723</v>
      </c>
      <c r="G133" s="85">
        <v>0</v>
      </c>
      <c r="H133" s="85">
        <v>0</v>
      </c>
    </row>
    <row r="134" spans="1:8" ht="9">
      <c r="A134" s="75">
        <v>1686</v>
      </c>
      <c r="B134" s="75" t="s">
        <v>773</v>
      </c>
      <c r="C134" s="85">
        <v>0</v>
      </c>
      <c r="D134" s="85">
        <v>0</v>
      </c>
      <c r="E134" s="75">
        <v>2725</v>
      </c>
      <c r="F134" s="75" t="s">
        <v>725</v>
      </c>
      <c r="G134" s="85">
        <v>0</v>
      </c>
      <c r="H134" s="85">
        <v>0</v>
      </c>
    </row>
    <row r="135" spans="1:8" ht="9">
      <c r="A135" s="75">
        <v>1690</v>
      </c>
      <c r="B135" s="75" t="s">
        <v>774</v>
      </c>
      <c r="C135" s="85">
        <v>0</v>
      </c>
      <c r="D135" s="85">
        <v>0</v>
      </c>
      <c r="E135" s="75">
        <v>2790</v>
      </c>
      <c r="F135" s="75" t="s">
        <v>726</v>
      </c>
      <c r="G135" s="85">
        <v>0</v>
      </c>
      <c r="H135" s="85">
        <v>0</v>
      </c>
    </row>
    <row r="136" spans="1:4" ht="9">
      <c r="A136" s="75">
        <v>1695</v>
      </c>
      <c r="B136" s="75" t="s">
        <v>775</v>
      </c>
      <c r="C136" s="85">
        <v>0</v>
      </c>
      <c r="D136" s="85">
        <v>0</v>
      </c>
    </row>
    <row r="137" spans="5:8" ht="9">
      <c r="E137" s="75">
        <v>29</v>
      </c>
      <c r="F137" s="83" t="s">
        <v>730</v>
      </c>
      <c r="G137" s="84">
        <f>SUM(G139:G142)</f>
        <v>0</v>
      </c>
      <c r="H137" s="84">
        <f>SUM(H139:H142)</f>
        <v>0</v>
      </c>
    </row>
    <row r="138" spans="1:8" ht="9">
      <c r="A138" s="75">
        <v>17</v>
      </c>
      <c r="B138" s="83" t="s">
        <v>776</v>
      </c>
      <c r="C138" s="84">
        <f>SUM(C140:C144)</f>
        <v>0</v>
      </c>
      <c r="D138" s="84">
        <f>SUM(D140:D144)</f>
        <v>0</v>
      </c>
      <c r="F138" s="83"/>
      <c r="G138" s="84"/>
      <c r="H138" s="84"/>
    </row>
    <row r="139" spans="2:8" ht="9">
      <c r="B139" s="83"/>
      <c r="C139" s="84"/>
      <c r="D139" s="84"/>
      <c r="E139" s="75">
        <v>2905</v>
      </c>
      <c r="F139" s="75" t="s">
        <v>731</v>
      </c>
      <c r="G139" s="85">
        <v>0</v>
      </c>
      <c r="H139" s="85">
        <v>0</v>
      </c>
    </row>
    <row r="140" spans="1:8" ht="9">
      <c r="A140" s="75">
        <v>1704</v>
      </c>
      <c r="B140" s="75" t="s">
        <v>777</v>
      </c>
      <c r="C140" s="85">
        <v>0</v>
      </c>
      <c r="D140" s="85">
        <v>0</v>
      </c>
      <c r="E140" s="75">
        <v>2910</v>
      </c>
      <c r="F140" s="75" t="s">
        <v>733</v>
      </c>
      <c r="H140" s="85">
        <v>0</v>
      </c>
    </row>
    <row r="141" spans="1:8" ht="9">
      <c r="A141" s="75">
        <v>1705</v>
      </c>
      <c r="B141" s="75" t="s">
        <v>778</v>
      </c>
      <c r="C141" s="85">
        <v>0</v>
      </c>
      <c r="D141" s="85">
        <v>0</v>
      </c>
      <c r="E141" s="75">
        <v>2915</v>
      </c>
      <c r="F141" s="75" t="s">
        <v>735</v>
      </c>
      <c r="G141" s="85">
        <v>0</v>
      </c>
      <c r="H141" s="85">
        <v>0</v>
      </c>
    </row>
    <row r="142" spans="1:8" ht="9">
      <c r="A142" s="75">
        <v>1710</v>
      </c>
      <c r="B142" s="75" t="s">
        <v>779</v>
      </c>
      <c r="C142" s="85">
        <v>0</v>
      </c>
      <c r="D142" s="85">
        <v>0</v>
      </c>
      <c r="E142" s="75">
        <v>2920</v>
      </c>
      <c r="F142" s="75" t="s">
        <v>736</v>
      </c>
      <c r="G142" s="85">
        <v>0</v>
      </c>
      <c r="H142" s="85">
        <v>0</v>
      </c>
    </row>
    <row r="143" spans="1:4" ht="9">
      <c r="A143" s="75">
        <v>1715</v>
      </c>
      <c r="B143" s="75" t="s">
        <v>780</v>
      </c>
      <c r="C143" s="85">
        <v>0</v>
      </c>
      <c r="D143" s="85">
        <v>0</v>
      </c>
    </row>
    <row r="144" spans="1:8" ht="9">
      <c r="A144" s="75">
        <v>1785</v>
      </c>
      <c r="B144" s="75" t="s">
        <v>781</v>
      </c>
      <c r="C144" s="85">
        <v>0</v>
      </c>
      <c r="D144" s="85">
        <v>0</v>
      </c>
      <c r="F144" s="83" t="s">
        <v>787</v>
      </c>
      <c r="G144" s="84">
        <f>SUM(G145:G146)</f>
        <v>0</v>
      </c>
      <c r="H144" s="84">
        <f>SUM(H145:H146)</f>
        <v>0</v>
      </c>
    </row>
    <row r="145" spans="6:8" ht="9">
      <c r="F145" s="75" t="s">
        <v>789</v>
      </c>
      <c r="G145" s="85">
        <v>0</v>
      </c>
      <c r="H145" s="85">
        <v>0</v>
      </c>
    </row>
    <row r="146" spans="1:8" ht="9">
      <c r="A146" s="75">
        <v>18</v>
      </c>
      <c r="B146" s="83" t="s">
        <v>782</v>
      </c>
      <c r="C146" s="84">
        <f>SUM(C148:C153)</f>
        <v>0</v>
      </c>
      <c r="D146" s="84">
        <f>SUM(D148:D153)</f>
        <v>0</v>
      </c>
      <c r="F146" s="75" t="s">
        <v>791</v>
      </c>
      <c r="G146" s="85">
        <v>0</v>
      </c>
      <c r="H146" s="85">
        <v>0</v>
      </c>
    </row>
    <row r="147" spans="2:4" ht="9">
      <c r="B147" s="83"/>
      <c r="C147" s="84"/>
      <c r="D147" s="84"/>
    </row>
    <row r="148" spans="1:4" ht="9">
      <c r="A148" s="75">
        <v>1805</v>
      </c>
      <c r="B148" s="75" t="s">
        <v>783</v>
      </c>
      <c r="C148" s="85">
        <v>0</v>
      </c>
      <c r="D148" s="85">
        <v>0</v>
      </c>
    </row>
    <row r="149" spans="1:8" ht="9">
      <c r="A149" s="75">
        <v>1810</v>
      </c>
      <c r="B149" s="75" t="s">
        <v>784</v>
      </c>
      <c r="C149" s="85">
        <v>0</v>
      </c>
      <c r="D149" s="85">
        <v>0</v>
      </c>
      <c r="E149" s="75">
        <v>3</v>
      </c>
      <c r="F149" s="83" t="s">
        <v>792</v>
      </c>
      <c r="G149" s="84">
        <f>G151+G163</f>
        <v>-359366247</v>
      </c>
      <c r="H149" s="84">
        <f>H151+H163</f>
        <v>-293216878</v>
      </c>
    </row>
    <row r="150" spans="1:9" ht="9">
      <c r="A150" s="75">
        <v>1815</v>
      </c>
      <c r="B150" s="75" t="s">
        <v>785</v>
      </c>
      <c r="C150" s="85">
        <v>0</v>
      </c>
      <c r="D150" s="85">
        <v>0</v>
      </c>
      <c r="I150" s="85"/>
    </row>
    <row r="151" spans="1:8" ht="9">
      <c r="A151" s="75">
        <v>1820</v>
      </c>
      <c r="B151" s="75" t="s">
        <v>786</v>
      </c>
      <c r="C151" s="85">
        <v>0</v>
      </c>
      <c r="D151" s="85">
        <v>0</v>
      </c>
      <c r="E151" s="75">
        <v>31</v>
      </c>
      <c r="F151" s="83" t="s">
        <v>793</v>
      </c>
      <c r="G151" s="84">
        <f>SUM(G153:G161)</f>
        <v>-359366247</v>
      </c>
      <c r="H151" s="84">
        <f>SUM(H153:H160)</f>
        <v>-293216878</v>
      </c>
    </row>
    <row r="152" spans="1:9" ht="9">
      <c r="A152" s="75">
        <v>1825</v>
      </c>
      <c r="B152" s="75" t="s">
        <v>788</v>
      </c>
      <c r="C152" s="85">
        <v>0</v>
      </c>
      <c r="D152" s="85">
        <v>0</v>
      </c>
      <c r="F152" s="83"/>
      <c r="G152" s="84"/>
      <c r="H152" s="84"/>
      <c r="I152" s="85"/>
    </row>
    <row r="153" spans="1:8" ht="9">
      <c r="A153" s="75">
        <v>1830</v>
      </c>
      <c r="B153" s="75" t="s">
        <v>790</v>
      </c>
      <c r="C153" s="85">
        <v>0</v>
      </c>
      <c r="D153" s="85">
        <v>0</v>
      </c>
      <c r="E153" s="75">
        <v>3105</v>
      </c>
      <c r="F153" s="75" t="s">
        <v>795</v>
      </c>
      <c r="G153" s="85">
        <f>'CGN96.001 '!E292</f>
        <v>-296766849</v>
      </c>
      <c r="H153" s="85">
        <v>-3607420</v>
      </c>
    </row>
    <row r="154" spans="1:8" ht="9">
      <c r="A154" s="83"/>
      <c r="B154" s="83"/>
      <c r="C154" s="84"/>
      <c r="D154" s="84"/>
      <c r="E154" s="75">
        <v>3110</v>
      </c>
      <c r="F154" s="75" t="s">
        <v>796</v>
      </c>
      <c r="G154" s="85">
        <f>'CGN96.001 '!E294</f>
        <v>-89424635</v>
      </c>
      <c r="H154" s="85">
        <v>-294916872</v>
      </c>
    </row>
    <row r="155" spans="1:8" ht="9">
      <c r="A155" s="75">
        <v>19</v>
      </c>
      <c r="B155" s="83" t="s">
        <v>235</v>
      </c>
      <c r="C155" s="84">
        <f>SUM(C157:C178)</f>
        <v>-21567590</v>
      </c>
      <c r="D155" s="84">
        <f>SUM(D157:D178)</f>
        <v>93543266</v>
      </c>
      <c r="E155" s="75">
        <v>3115</v>
      </c>
      <c r="F155" s="75" t="s">
        <v>797</v>
      </c>
      <c r="G155" s="85">
        <f>'CGN96.001 '!D298</f>
        <v>14917693</v>
      </c>
      <c r="H155" s="85">
        <v>0</v>
      </c>
    </row>
    <row r="156" spans="2:8" ht="9">
      <c r="B156" s="83"/>
      <c r="C156" s="84"/>
      <c r="D156" s="84"/>
      <c r="E156" s="75">
        <v>3117</v>
      </c>
      <c r="F156" s="75" t="s">
        <v>799</v>
      </c>
      <c r="G156" s="85">
        <v>0</v>
      </c>
      <c r="H156" s="85">
        <v>0</v>
      </c>
    </row>
    <row r="157" spans="1:8" ht="9">
      <c r="A157" s="75">
        <v>1905</v>
      </c>
      <c r="B157" s="75" t="s">
        <v>695</v>
      </c>
      <c r="D157" s="85">
        <v>0</v>
      </c>
      <c r="E157" s="75">
        <v>3120</v>
      </c>
      <c r="F157" s="75" t="s">
        <v>800</v>
      </c>
      <c r="G157" s="85">
        <f>'CGN96.001 '!E308</f>
        <v>879893</v>
      </c>
      <c r="H157" s="85">
        <v>879893</v>
      </c>
    </row>
    <row r="158" spans="1:8" ht="9">
      <c r="A158" s="75">
        <v>1910</v>
      </c>
      <c r="B158" s="75" t="s">
        <v>697</v>
      </c>
      <c r="C158" s="85">
        <f>'CGN96.001 '!E137</f>
        <v>118158</v>
      </c>
      <c r="D158" s="85">
        <v>441959</v>
      </c>
      <c r="E158" s="75">
        <v>3125</v>
      </c>
      <c r="F158" s="75" t="s">
        <v>801</v>
      </c>
      <c r="G158" s="85">
        <f>'CGN96.001 '!E311</f>
        <v>10396490</v>
      </c>
      <c r="H158" s="85">
        <v>2889992</v>
      </c>
    </row>
    <row r="159" spans="1:8" ht="9">
      <c r="A159" s="75">
        <v>1911</v>
      </c>
      <c r="B159" s="75" t="s">
        <v>794</v>
      </c>
      <c r="C159" s="85">
        <f>'CGN96.001 '!E148</f>
        <v>90750999</v>
      </c>
      <c r="D159" s="85">
        <v>90581790</v>
      </c>
      <c r="E159" s="75">
        <v>3130</v>
      </c>
      <c r="F159" s="75" t="s">
        <v>803</v>
      </c>
      <c r="G159" s="85">
        <v>0</v>
      </c>
      <c r="H159" s="85">
        <v>0</v>
      </c>
    </row>
    <row r="160" spans="1:8" ht="9">
      <c r="A160" s="75">
        <v>1915</v>
      </c>
      <c r="B160" s="75" t="s">
        <v>699</v>
      </c>
      <c r="C160" s="85">
        <v>0</v>
      </c>
      <c r="D160" s="85">
        <v>0</v>
      </c>
      <c r="E160" s="75">
        <v>3135</v>
      </c>
      <c r="F160" s="75" t="s">
        <v>125</v>
      </c>
      <c r="H160" s="85">
        <v>1537529</v>
      </c>
    </row>
    <row r="161" spans="1:8" ht="9">
      <c r="A161" s="75">
        <v>1920</v>
      </c>
      <c r="B161" s="75" t="s">
        <v>700</v>
      </c>
      <c r="C161" s="85">
        <f>'CGN96.001 '!E150</f>
        <v>4497902</v>
      </c>
      <c r="D161" s="85">
        <v>127652</v>
      </c>
      <c r="E161" s="75">
        <v>3138</v>
      </c>
      <c r="F161" s="75" t="s">
        <v>804</v>
      </c>
      <c r="G161" s="85">
        <f>'CGN96.001 '!E324</f>
        <v>631161</v>
      </c>
      <c r="H161" s="75"/>
    </row>
    <row r="162" spans="1:4" ht="9">
      <c r="A162" s="75">
        <v>1925</v>
      </c>
      <c r="B162" s="75" t="s">
        <v>798</v>
      </c>
      <c r="C162" s="85">
        <f>'CGN96.001 '!E154</f>
        <v>-10006</v>
      </c>
      <c r="D162" s="85">
        <v>-10006</v>
      </c>
    </row>
    <row r="163" spans="1:8" ht="9">
      <c r="A163" s="75">
        <v>1926</v>
      </c>
      <c r="B163" s="75" t="s">
        <v>704</v>
      </c>
      <c r="C163" s="85">
        <v>0</v>
      </c>
      <c r="D163" s="85">
        <v>0</v>
      </c>
      <c r="E163" s="75">
        <v>32</v>
      </c>
      <c r="F163" s="83" t="s">
        <v>807</v>
      </c>
      <c r="G163" s="84">
        <f>SUM(G165:G176)</f>
        <v>0</v>
      </c>
      <c r="H163" s="84">
        <f>SUM(H165:H176)</f>
        <v>0</v>
      </c>
    </row>
    <row r="164" spans="1:8" ht="9">
      <c r="A164" s="75">
        <v>1930</v>
      </c>
      <c r="B164" s="75" t="s">
        <v>706</v>
      </c>
      <c r="C164" s="85">
        <v>0</v>
      </c>
      <c r="D164" s="85">
        <v>0</v>
      </c>
      <c r="F164" s="83"/>
      <c r="G164" s="84"/>
      <c r="H164" s="84"/>
    </row>
    <row r="165" spans="1:8" ht="9">
      <c r="A165" s="75">
        <v>1935</v>
      </c>
      <c r="B165" s="75" t="s">
        <v>802</v>
      </c>
      <c r="C165" s="85">
        <v>0</v>
      </c>
      <c r="D165" s="85">
        <v>0</v>
      </c>
      <c r="E165" s="75">
        <v>3205</v>
      </c>
      <c r="F165" s="75" t="s">
        <v>808</v>
      </c>
      <c r="G165" s="85">
        <v>0</v>
      </c>
      <c r="H165" s="85">
        <v>0</v>
      </c>
    </row>
    <row r="166" spans="1:8" ht="9">
      <c r="A166" s="75">
        <v>1940</v>
      </c>
      <c r="B166" s="75" t="s">
        <v>710</v>
      </c>
      <c r="C166" s="85">
        <v>0</v>
      </c>
      <c r="D166" s="85">
        <v>0</v>
      </c>
      <c r="E166" s="75">
        <v>3208</v>
      </c>
      <c r="F166" s="75" t="s">
        <v>795</v>
      </c>
      <c r="G166" s="85">
        <v>0</v>
      </c>
      <c r="H166" s="85">
        <v>0</v>
      </c>
    </row>
    <row r="167" spans="1:8" ht="9">
      <c r="A167" s="75">
        <v>1941</v>
      </c>
      <c r="B167" s="75" t="s">
        <v>712</v>
      </c>
      <c r="C167" s="85">
        <v>0</v>
      </c>
      <c r="D167" s="85">
        <v>0</v>
      </c>
      <c r="E167" s="75">
        <v>3210</v>
      </c>
      <c r="F167" s="75" t="s">
        <v>809</v>
      </c>
      <c r="G167" s="85">
        <v>0</v>
      </c>
      <c r="H167" s="85">
        <v>0</v>
      </c>
    </row>
    <row r="168" spans="1:8" ht="9">
      <c r="A168" s="75">
        <v>1942</v>
      </c>
      <c r="B168" s="75" t="s">
        <v>805</v>
      </c>
      <c r="C168" s="85">
        <v>0</v>
      </c>
      <c r="D168" s="85">
        <v>0</v>
      </c>
      <c r="E168" s="75">
        <v>3215</v>
      </c>
      <c r="F168" s="75" t="s">
        <v>810</v>
      </c>
      <c r="G168" s="85">
        <v>0</v>
      </c>
      <c r="H168" s="85">
        <v>0</v>
      </c>
    </row>
    <row r="169" spans="1:8" ht="9">
      <c r="A169" s="75">
        <v>1943</v>
      </c>
      <c r="B169" s="75" t="s">
        <v>806</v>
      </c>
      <c r="C169" s="85">
        <v>0</v>
      </c>
      <c r="D169" s="85">
        <v>0</v>
      </c>
      <c r="E169" s="75">
        <v>3220</v>
      </c>
      <c r="F169" s="75" t="s">
        <v>811</v>
      </c>
      <c r="G169" s="85">
        <v>0</v>
      </c>
      <c r="H169" s="85">
        <v>0</v>
      </c>
    </row>
    <row r="170" spans="1:8" ht="9">
      <c r="A170" s="75">
        <v>1945</v>
      </c>
      <c r="B170" s="75" t="s">
        <v>716</v>
      </c>
      <c r="C170" s="85">
        <v>0</v>
      </c>
      <c r="D170" s="85">
        <v>0</v>
      </c>
      <c r="E170" s="75">
        <v>3225</v>
      </c>
      <c r="F170" s="75" t="s">
        <v>812</v>
      </c>
      <c r="G170" s="85">
        <v>0</v>
      </c>
      <c r="H170" s="85">
        <v>0</v>
      </c>
    </row>
    <row r="171" spans="1:8" ht="9">
      <c r="A171" s="75">
        <v>1950</v>
      </c>
      <c r="B171" s="75" t="s">
        <v>718</v>
      </c>
      <c r="C171" s="85">
        <v>0</v>
      </c>
      <c r="D171" s="85">
        <v>0</v>
      </c>
      <c r="E171" s="75">
        <v>3230</v>
      </c>
      <c r="F171" s="75" t="s">
        <v>796</v>
      </c>
      <c r="G171" s="85">
        <v>0</v>
      </c>
      <c r="H171" s="85">
        <v>0</v>
      </c>
    </row>
    <row r="172" spans="1:8" ht="9">
      <c r="A172" s="75">
        <v>1960</v>
      </c>
      <c r="B172" s="75" t="s">
        <v>722</v>
      </c>
      <c r="C172" s="85">
        <v>0</v>
      </c>
      <c r="D172" s="85">
        <v>62133</v>
      </c>
      <c r="E172" s="75">
        <v>3235</v>
      </c>
      <c r="F172" s="75" t="s">
        <v>800</v>
      </c>
      <c r="G172" s="85">
        <v>0</v>
      </c>
      <c r="H172" s="85">
        <v>0</v>
      </c>
    </row>
    <row r="173" spans="1:8" ht="9">
      <c r="A173" s="75">
        <v>1965</v>
      </c>
      <c r="B173" s="75" t="s">
        <v>724</v>
      </c>
      <c r="C173" s="85">
        <v>0</v>
      </c>
      <c r="D173" s="85">
        <v>0</v>
      </c>
      <c r="E173" s="75">
        <v>3240</v>
      </c>
      <c r="F173" s="75" t="s">
        <v>814</v>
      </c>
      <c r="G173" s="85">
        <v>0</v>
      </c>
      <c r="H173" s="85">
        <v>0</v>
      </c>
    </row>
    <row r="174" spans="1:8" ht="9">
      <c r="A174" s="75">
        <v>1970</v>
      </c>
      <c r="B174" s="75" t="s">
        <v>441</v>
      </c>
      <c r="C174" s="85">
        <f>'CGN96.001 '!E170</f>
        <v>6557146</v>
      </c>
      <c r="D174" s="85">
        <v>2556698</v>
      </c>
      <c r="E174" s="75">
        <v>3245</v>
      </c>
      <c r="F174" s="75" t="s">
        <v>815</v>
      </c>
      <c r="G174" s="85">
        <v>0</v>
      </c>
      <c r="H174" s="85">
        <v>0</v>
      </c>
    </row>
    <row r="175" spans="1:8" ht="9">
      <c r="A175" s="75">
        <v>1975</v>
      </c>
      <c r="B175" s="75" t="s">
        <v>727</v>
      </c>
      <c r="C175" s="85">
        <f>'CGN96.001 '!E174</f>
        <v>-6069584</v>
      </c>
      <c r="D175" s="85">
        <v>-216960</v>
      </c>
      <c r="E175" s="75">
        <v>3250</v>
      </c>
      <c r="F175" s="75" t="s">
        <v>125</v>
      </c>
      <c r="G175" s="85">
        <v>0</v>
      </c>
      <c r="H175" s="85">
        <v>0</v>
      </c>
    </row>
    <row r="176" spans="1:8" ht="9">
      <c r="A176" s="75">
        <v>1995</v>
      </c>
      <c r="B176" s="75" t="s">
        <v>728</v>
      </c>
      <c r="C176" s="85">
        <f>'CGN96.001 '!E178</f>
        <v>-132564800</v>
      </c>
      <c r="D176" s="85">
        <v>0</v>
      </c>
      <c r="E176" s="75">
        <v>3255</v>
      </c>
      <c r="F176" s="75" t="s">
        <v>816</v>
      </c>
      <c r="G176" s="85">
        <v>0</v>
      </c>
      <c r="H176" s="85">
        <v>0</v>
      </c>
    </row>
    <row r="177" spans="1:4" ht="9">
      <c r="A177" s="75">
        <v>1996</v>
      </c>
      <c r="B177" s="75" t="s">
        <v>813</v>
      </c>
      <c r="C177" s="85">
        <f>'CGN96.001 '!E187</f>
        <v>234902</v>
      </c>
      <c r="D177" s="85">
        <v>0</v>
      </c>
    </row>
    <row r="178" spans="1:4" ht="9">
      <c r="A178" s="75">
        <v>1999</v>
      </c>
      <c r="B178" s="75" t="s">
        <v>729</v>
      </c>
      <c r="C178" s="85">
        <f>'CGN96.001 '!E193</f>
        <v>14917693</v>
      </c>
      <c r="D178" s="85">
        <v>0</v>
      </c>
    </row>
    <row r="180" ht="9">
      <c r="I180" s="85"/>
    </row>
    <row r="181" spans="2:9" ht="9">
      <c r="B181" s="83" t="s">
        <v>732</v>
      </c>
      <c r="I181" s="85"/>
    </row>
    <row r="182" spans="2:4" ht="9">
      <c r="B182" s="83" t="s">
        <v>817</v>
      </c>
      <c r="C182" s="84">
        <v>0</v>
      </c>
      <c r="D182" s="84">
        <v>0</v>
      </c>
    </row>
    <row r="184" spans="2:8" ht="9">
      <c r="B184" s="83" t="s">
        <v>818</v>
      </c>
      <c r="C184" s="86">
        <f>+C11+C85</f>
        <v>386325215</v>
      </c>
      <c r="D184" s="86">
        <f>+D11+D85</f>
        <v>385531535</v>
      </c>
      <c r="F184" s="83" t="s">
        <v>819</v>
      </c>
      <c r="G184" s="86">
        <f>G11+G85+G149</f>
        <v>386325215</v>
      </c>
      <c r="H184" s="86">
        <f>H11+H85+H149</f>
        <v>385531535</v>
      </c>
    </row>
    <row r="185" spans="7:8" ht="9">
      <c r="G185" s="84"/>
      <c r="H185" s="84"/>
    </row>
    <row r="186" spans="2:8" ht="9">
      <c r="B186" s="83" t="s">
        <v>820</v>
      </c>
      <c r="C186" s="84">
        <f>SUM(C188:C192)</f>
        <v>0</v>
      </c>
      <c r="D186" s="84">
        <f>SUM(D188:D192)</f>
        <v>0</v>
      </c>
      <c r="F186" s="83" t="s">
        <v>821</v>
      </c>
      <c r="G186" s="84">
        <f>SUM(G187:G192)</f>
        <v>0</v>
      </c>
      <c r="H186" s="84">
        <f>SUM(H188:H192)</f>
        <v>0</v>
      </c>
    </row>
    <row r="187" spans="2:4" ht="9">
      <c r="B187" s="83"/>
      <c r="C187" s="84"/>
      <c r="D187" s="84"/>
    </row>
    <row r="188" spans="1:8" ht="9">
      <c r="A188" s="75">
        <v>81</v>
      </c>
      <c r="B188" s="75" t="s">
        <v>822</v>
      </c>
      <c r="C188" s="85">
        <v>0</v>
      </c>
      <c r="D188" s="85">
        <v>0</v>
      </c>
      <c r="F188" s="75" t="s">
        <v>824</v>
      </c>
      <c r="G188" s="85">
        <f>'CGN96.001 '!E620</f>
        <v>337810081</v>
      </c>
      <c r="H188" s="85">
        <f>+'[1]CGN96.001 '!$D$539</f>
        <v>930904537</v>
      </c>
    </row>
    <row r="189" spans="1:8" ht="9">
      <c r="A189" s="75">
        <v>82</v>
      </c>
      <c r="B189" s="75" t="s">
        <v>823</v>
      </c>
      <c r="C189" s="85">
        <v>0</v>
      </c>
      <c r="D189" s="85">
        <v>0</v>
      </c>
      <c r="E189" s="75">
        <v>91</v>
      </c>
      <c r="F189" s="75" t="s">
        <v>826</v>
      </c>
      <c r="G189" s="85">
        <v>0</v>
      </c>
      <c r="H189" s="85">
        <v>0</v>
      </c>
    </row>
    <row r="190" spans="1:8" ht="9">
      <c r="A190" s="75">
        <v>83</v>
      </c>
      <c r="B190" s="75" t="s">
        <v>825</v>
      </c>
      <c r="C190" s="85">
        <f>'CGN96.001 '!E602</f>
        <v>763593</v>
      </c>
      <c r="D190" s="85">
        <f>+'[1]CGN96.001 '!$D$520</f>
        <v>1239224</v>
      </c>
      <c r="E190" s="75">
        <v>92</v>
      </c>
      <c r="F190" s="75" t="s">
        <v>828</v>
      </c>
      <c r="G190" s="85">
        <v>0</v>
      </c>
      <c r="H190" s="85">
        <v>0</v>
      </c>
    </row>
    <row r="191" spans="1:7" ht="9">
      <c r="A191" s="75">
        <v>84</v>
      </c>
      <c r="B191" s="75" t="s">
        <v>827</v>
      </c>
      <c r="C191" s="85">
        <v>0</v>
      </c>
      <c r="D191" s="85">
        <v>0</v>
      </c>
      <c r="E191" s="75">
        <v>93</v>
      </c>
      <c r="F191" s="75" t="s">
        <v>830</v>
      </c>
      <c r="G191" s="85">
        <v>0</v>
      </c>
    </row>
    <row r="192" spans="1:8" ht="9">
      <c r="A192" s="75">
        <v>89</v>
      </c>
      <c r="B192" s="75" t="s">
        <v>829</v>
      </c>
      <c r="C192" s="85">
        <f>'CGN96.001 '!E613</f>
        <v>-763593</v>
      </c>
      <c r="D192" s="85">
        <f>-D190</f>
        <v>-1239224</v>
      </c>
      <c r="E192" s="75">
        <v>94</v>
      </c>
      <c r="F192" s="75" t="s">
        <v>831</v>
      </c>
      <c r="G192" s="85">
        <f>'CGN96.001 '!E631</f>
        <v>-337810081</v>
      </c>
      <c r="H192" s="85">
        <v>-930904537</v>
      </c>
    </row>
    <row r="193" ht="9">
      <c r="E193" s="75">
        <v>99</v>
      </c>
    </row>
    <row r="194" spans="1:2" ht="9">
      <c r="A194" s="75" t="s">
        <v>2</v>
      </c>
      <c r="B194" s="75" t="s">
        <v>2</v>
      </c>
    </row>
    <row r="195" spans="2:4" ht="9">
      <c r="B195" s="83"/>
      <c r="C195" s="84"/>
      <c r="D195" s="84"/>
    </row>
    <row r="200" ht="9">
      <c r="F200" s="83" t="s">
        <v>2</v>
      </c>
    </row>
    <row r="201" spans="2:6" ht="9.75">
      <c r="B201" s="83" t="s">
        <v>2</v>
      </c>
      <c r="F201" s="75" t="s">
        <v>2</v>
      </c>
    </row>
    <row r="202" spans="2:8" ht="9.75">
      <c r="B202" s="84" t="s">
        <v>526</v>
      </c>
      <c r="C202" s="84"/>
      <c r="F202" s="83" t="s">
        <v>527</v>
      </c>
      <c r="G202" s="83" t="s">
        <v>2</v>
      </c>
      <c r="H202" s="83" t="s">
        <v>2</v>
      </c>
    </row>
    <row r="203" spans="2:8" ht="9.75">
      <c r="B203" s="85" t="s">
        <v>528</v>
      </c>
      <c r="E203" s="83"/>
      <c r="F203" s="75" t="s">
        <v>529</v>
      </c>
      <c r="G203" s="75" t="s">
        <v>2</v>
      </c>
      <c r="H203" s="75" t="s">
        <v>2</v>
      </c>
    </row>
    <row r="204" spans="2:8" ht="9">
      <c r="B204" s="83" t="s">
        <v>2</v>
      </c>
      <c r="D204" s="84"/>
      <c r="G204" s="75" t="s">
        <v>2</v>
      </c>
      <c r="H204" s="75" t="s">
        <v>2</v>
      </c>
    </row>
    <row r="205" ht="9">
      <c r="B205" s="83"/>
    </row>
    <row r="206" ht="9">
      <c r="B206" s="83"/>
    </row>
    <row r="207" ht="9">
      <c r="B207" s="87" t="s">
        <v>574</v>
      </c>
    </row>
    <row r="208" ht="9">
      <c r="B208" s="88" t="s">
        <v>542</v>
      </c>
    </row>
    <row r="209" ht="9">
      <c r="B209" s="88" t="s">
        <v>573</v>
      </c>
    </row>
    <row r="210" ht="9">
      <c r="B210" s="83"/>
    </row>
    <row r="211" ht="9">
      <c r="B211" s="83"/>
    </row>
    <row r="214" spans="1:2" ht="9">
      <c r="A214" s="75" t="s">
        <v>2</v>
      </c>
      <c r="B214" s="83"/>
    </row>
    <row r="215" ht="9">
      <c r="B215" s="83"/>
    </row>
    <row r="216" ht="9">
      <c r="B216" s="83"/>
    </row>
    <row r="217" ht="9">
      <c r="B217" s="75" t="s">
        <v>2</v>
      </c>
    </row>
    <row r="218" ht="9">
      <c r="B218" s="75" t="s">
        <v>2</v>
      </c>
    </row>
    <row r="221" spans="1:3" ht="9">
      <c r="A221" s="75" t="s">
        <v>2</v>
      </c>
      <c r="C221" s="75"/>
    </row>
    <row r="222" ht="9">
      <c r="A222" s="75" t="s">
        <v>2</v>
      </c>
    </row>
    <row r="223" ht="9">
      <c r="D223" s="75"/>
    </row>
  </sheetData>
  <mergeCells count="4">
    <mergeCell ref="A1:H1"/>
    <mergeCell ref="A2:H2"/>
    <mergeCell ref="A4:H4"/>
    <mergeCell ref="A5:H5"/>
  </mergeCells>
  <printOptions/>
  <pageMargins left="0.25" right="0.25" top="0.43" bottom="0.51" header="0.5" footer="0.46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B10" sqref="B10:B11"/>
    </sheetView>
  </sheetViews>
  <sheetFormatPr defaultColWidth="11.421875" defaultRowHeight="12.75"/>
  <cols>
    <col min="1" max="1" width="8.7109375" style="75" customWidth="1"/>
    <col min="2" max="2" width="34.57421875" style="75" customWidth="1"/>
    <col min="3" max="4" width="11.421875" style="85" customWidth="1"/>
    <col min="5" max="5" width="8.7109375" style="75" customWidth="1"/>
    <col min="6" max="6" width="34.7109375" style="75" customWidth="1"/>
    <col min="7" max="8" width="11.421875" style="85" customWidth="1"/>
    <col min="9" max="16384" width="11.421875" style="75" customWidth="1"/>
  </cols>
  <sheetData>
    <row r="1" spans="1:8" ht="9">
      <c r="A1" s="89" t="s">
        <v>7</v>
      </c>
      <c r="B1" s="89"/>
      <c r="C1" s="89"/>
      <c r="D1" s="89"/>
      <c r="E1" s="89"/>
      <c r="F1" s="89"/>
      <c r="G1" s="89"/>
      <c r="H1" s="89"/>
    </row>
    <row r="2" spans="1:8" ht="9">
      <c r="A2" s="89" t="s">
        <v>623</v>
      </c>
      <c r="B2" s="89"/>
      <c r="C2" s="89"/>
      <c r="D2" s="89"/>
      <c r="E2" s="89"/>
      <c r="F2" s="89"/>
      <c r="G2" s="89"/>
      <c r="H2" s="89"/>
    </row>
    <row r="3" spans="1:8" ht="9">
      <c r="A3" s="76" t="s">
        <v>624</v>
      </c>
      <c r="B3" s="77"/>
      <c r="C3" s="78"/>
      <c r="D3" s="78"/>
      <c r="E3" s="77"/>
      <c r="F3" s="77"/>
      <c r="G3" s="78"/>
      <c r="H3" s="78"/>
    </row>
    <row r="4" spans="1:8" ht="9">
      <c r="A4" s="89" t="s">
        <v>625</v>
      </c>
      <c r="B4" s="89"/>
      <c r="C4" s="89"/>
      <c r="D4" s="89"/>
      <c r="E4" s="89"/>
      <c r="F4" s="89"/>
      <c r="G4" s="89"/>
      <c r="H4" s="89"/>
    </row>
    <row r="5" spans="1:8" ht="9">
      <c r="A5" s="89" t="s">
        <v>575</v>
      </c>
      <c r="B5" s="89"/>
      <c r="C5" s="89"/>
      <c r="D5" s="89"/>
      <c r="E5" s="89"/>
      <c r="F5" s="89"/>
      <c r="G5" s="89"/>
      <c r="H5" s="89"/>
    </row>
    <row r="6" spans="1:8" ht="12.75" customHeight="1">
      <c r="A6" s="79"/>
      <c r="B6" s="79"/>
      <c r="C6" s="80">
        <v>2004</v>
      </c>
      <c r="D6" s="80">
        <v>2003</v>
      </c>
      <c r="E6" s="79"/>
      <c r="F6" s="79"/>
      <c r="G6" s="80">
        <v>2004</v>
      </c>
      <c r="H6" s="80">
        <v>2003</v>
      </c>
    </row>
    <row r="7" spans="1:8" ht="9">
      <c r="A7" s="79"/>
      <c r="B7" s="79"/>
      <c r="C7" s="80" t="s">
        <v>626</v>
      </c>
      <c r="D7" s="80" t="s">
        <v>626</v>
      </c>
      <c r="E7" s="79"/>
      <c r="F7" s="79"/>
      <c r="G7" s="80" t="s">
        <v>626</v>
      </c>
      <c r="H7" s="80" t="s">
        <v>626</v>
      </c>
    </row>
    <row r="8" spans="1:8" ht="9">
      <c r="A8" s="79" t="s">
        <v>627</v>
      </c>
      <c r="B8" s="79" t="s">
        <v>16</v>
      </c>
      <c r="C8" s="80" t="s">
        <v>628</v>
      </c>
      <c r="D8" s="80" t="s">
        <v>628</v>
      </c>
      <c r="E8" s="79" t="s">
        <v>627</v>
      </c>
      <c r="F8" s="79" t="s">
        <v>145</v>
      </c>
      <c r="G8" s="80" t="s">
        <v>628</v>
      </c>
      <c r="H8" s="80" t="s">
        <v>628</v>
      </c>
    </row>
    <row r="9" spans="1:8" ht="9">
      <c r="A9" s="79"/>
      <c r="B9" s="79"/>
      <c r="C9" s="80" t="s">
        <v>629</v>
      </c>
      <c r="D9" s="80" t="s">
        <v>629</v>
      </c>
      <c r="E9" s="79"/>
      <c r="F9" s="79"/>
      <c r="G9" s="80" t="s">
        <v>629</v>
      </c>
      <c r="H9" s="80" t="s">
        <v>629</v>
      </c>
    </row>
    <row r="10" spans="1:8" ht="9">
      <c r="A10" s="81"/>
      <c r="B10" s="81"/>
      <c r="C10" s="82"/>
      <c r="D10" s="82"/>
      <c r="E10" s="81"/>
      <c r="F10" s="81"/>
      <c r="G10" s="82"/>
      <c r="H10" s="82"/>
    </row>
    <row r="11" spans="1:8" ht="9">
      <c r="A11" s="81"/>
      <c r="B11" s="81"/>
      <c r="C11" s="82"/>
      <c r="D11" s="82"/>
      <c r="E11" s="81"/>
      <c r="F11" s="81"/>
      <c r="G11" s="82"/>
      <c r="H11" s="82"/>
    </row>
    <row r="12" spans="1:8" ht="9">
      <c r="A12" s="83"/>
      <c r="B12" s="83" t="s">
        <v>630</v>
      </c>
      <c r="C12" s="84">
        <f>SUM(C13:C20)</f>
        <v>265579473</v>
      </c>
      <c r="D12" s="84">
        <f>SUM(D13:D20)</f>
        <v>201937066</v>
      </c>
      <c r="F12" s="83" t="s">
        <v>631</v>
      </c>
      <c r="G12" s="84">
        <f>SUM(G13:G20)</f>
        <v>745691462</v>
      </c>
      <c r="H12" s="84">
        <f>SUM(H13:H20)</f>
        <v>677672378</v>
      </c>
    </row>
    <row r="13" spans="1:8" ht="9">
      <c r="A13" s="75">
        <v>11</v>
      </c>
      <c r="B13" s="75" t="s">
        <v>632</v>
      </c>
      <c r="C13" s="85">
        <f>'CGN96.001 '!C12</f>
        <v>11385395</v>
      </c>
      <c r="D13" s="85">
        <f>'[2]bce gral por cta'!D13</f>
        <v>25081809</v>
      </c>
      <c r="E13" s="75">
        <v>21</v>
      </c>
      <c r="F13" s="75" t="s">
        <v>633</v>
      </c>
      <c r="G13" s="85">
        <f>'[2]bce gral por cta'!G13</f>
        <v>0</v>
      </c>
      <c r="H13" s="85">
        <f>'[2]bce gral por cta'!H13</f>
        <v>0</v>
      </c>
    </row>
    <row r="14" spans="1:8" ht="9">
      <c r="A14" s="75">
        <v>12</v>
      </c>
      <c r="B14" s="75" t="s">
        <v>641</v>
      </c>
      <c r="C14" s="85">
        <f>'CGN96.001 '!C23</f>
        <v>162398817</v>
      </c>
      <c r="D14" s="85">
        <f>+'[2]bce gral por cta'!D21</f>
        <v>124150051</v>
      </c>
      <c r="E14" s="75">
        <v>22</v>
      </c>
      <c r="F14" s="75" t="s">
        <v>642</v>
      </c>
      <c r="G14" s="85">
        <f>'CGN96.001 '!C201</f>
        <v>132000</v>
      </c>
      <c r="H14" s="85">
        <f>'[2]bce gral por cta'!H21</f>
        <v>132000</v>
      </c>
    </row>
    <row r="15" spans="1:8" ht="9">
      <c r="A15" s="75">
        <v>13</v>
      </c>
      <c r="B15" s="75" t="s">
        <v>649</v>
      </c>
      <c r="C15" s="85">
        <f>'[2]bce gral por cta'!C27</f>
        <v>0</v>
      </c>
      <c r="D15" s="85">
        <f>'[2]bce gral por cta'!D27</f>
        <v>0</v>
      </c>
      <c r="E15" s="75">
        <v>23</v>
      </c>
      <c r="F15" s="75" t="s">
        <v>650</v>
      </c>
      <c r="G15" s="85">
        <f>'[2]bce gral por cta'!G27</f>
        <v>0</v>
      </c>
      <c r="H15" s="85">
        <f>'[2]bce gral por cta'!H27</f>
        <v>342510</v>
      </c>
    </row>
    <row r="16" spans="1:8" ht="9">
      <c r="A16" s="75">
        <v>14</v>
      </c>
      <c r="B16" s="75" t="s">
        <v>658</v>
      </c>
      <c r="C16" s="85">
        <f>'CGN96.001 '!C32</f>
        <v>91687036</v>
      </c>
      <c r="D16" s="85">
        <f>'[2]bce gral por cta'!D33</f>
        <v>52511360</v>
      </c>
      <c r="E16" s="75">
        <v>24</v>
      </c>
      <c r="F16" s="75" t="s">
        <v>657</v>
      </c>
      <c r="G16" s="85">
        <f>'CGN96.001 '!C204</f>
        <v>744652265</v>
      </c>
      <c r="H16" s="85">
        <f>'[2]bce gral por cta'!H32</f>
        <v>676514794</v>
      </c>
    </row>
    <row r="17" spans="1:8" ht="9">
      <c r="A17" s="75">
        <v>15</v>
      </c>
      <c r="B17" s="75" t="s">
        <v>229</v>
      </c>
      <c r="C17" s="85">
        <f>'[2]bce gral por cta'!C45</f>
        <v>0</v>
      </c>
      <c r="D17" s="85">
        <f>'[2]bce gral por cta'!D45</f>
        <v>0</v>
      </c>
      <c r="E17" s="75">
        <v>25</v>
      </c>
      <c r="F17" s="75" t="s">
        <v>762</v>
      </c>
      <c r="G17" s="85">
        <f>'CGN96.001 '!C261</f>
        <v>277006</v>
      </c>
      <c r="H17" s="85">
        <f>'[2]bce gral por cta'!H56</f>
        <v>69770</v>
      </c>
    </row>
    <row r="18" spans="1:8" ht="9">
      <c r="A18" s="75">
        <v>19</v>
      </c>
      <c r="B18" s="75" t="s">
        <v>235</v>
      </c>
      <c r="C18" s="85">
        <f>'CGN96.001 '!C129</f>
        <v>108225</v>
      </c>
      <c r="D18" s="85">
        <f>'[2]bce gral por cta'!D56</f>
        <v>193846</v>
      </c>
      <c r="E18" s="75">
        <v>26</v>
      </c>
      <c r="F18" s="75" t="s">
        <v>701</v>
      </c>
      <c r="G18" s="85">
        <f>'[2]bce gral por cta'!G60</f>
        <v>0</v>
      </c>
      <c r="H18" s="85">
        <f>'[2]bce gral por cta'!H60</f>
        <v>0</v>
      </c>
    </row>
    <row r="19" spans="2:8" ht="9">
      <c r="B19" s="75" t="s">
        <v>732</v>
      </c>
      <c r="E19" s="75">
        <v>27</v>
      </c>
      <c r="F19" s="75" t="s">
        <v>715</v>
      </c>
      <c r="G19" s="85">
        <f>'[2]bce gral por cta'!G68</f>
        <v>0</v>
      </c>
      <c r="H19" s="85">
        <f>'[2]bce gral por cta'!H68</f>
        <v>574139</v>
      </c>
    </row>
    <row r="20" spans="2:8" ht="9">
      <c r="B20" s="75" t="s">
        <v>734</v>
      </c>
      <c r="C20" s="85">
        <f>+'[2]bce gral por cta'!C80</f>
        <v>0</v>
      </c>
      <c r="D20" s="85">
        <f>+'[2]bce gral por cta'!D80</f>
        <v>0</v>
      </c>
      <c r="E20" s="75">
        <v>29</v>
      </c>
      <c r="F20" s="75" t="s">
        <v>730</v>
      </c>
      <c r="G20" s="85">
        <f>'CGN96.001 '!C280</f>
        <v>630191</v>
      </c>
      <c r="H20" s="85">
        <f>'[2]bce gral por cta'!H77</f>
        <v>39165</v>
      </c>
    </row>
    <row r="22" spans="2:8" ht="9">
      <c r="B22" s="83" t="s">
        <v>737</v>
      </c>
      <c r="C22" s="84">
        <f>SUM(C23:C30)</f>
        <v>120745742</v>
      </c>
      <c r="D22" s="84">
        <f>SUM(D23:D30)</f>
        <v>187034902</v>
      </c>
      <c r="F22" s="83" t="s">
        <v>738</v>
      </c>
      <c r="G22" s="84">
        <f>SUM(G23:G30)</f>
        <v>0</v>
      </c>
      <c r="H22" s="84">
        <f>SUM(H23:H30)</f>
        <v>1959853</v>
      </c>
    </row>
    <row r="23" spans="1:8" ht="9">
      <c r="A23" s="75">
        <v>12</v>
      </c>
      <c r="B23" s="75" t="s">
        <v>641</v>
      </c>
      <c r="C23" s="85">
        <f>'CGN96.001 '!D23</f>
        <v>0</v>
      </c>
      <c r="D23" s="85">
        <f>'[2]bce gral por cta'!D90</f>
        <v>2333307</v>
      </c>
      <c r="E23" s="75">
        <v>22</v>
      </c>
      <c r="F23" s="75" t="s">
        <v>642</v>
      </c>
      <c r="G23" s="85">
        <f>'[2]bce gral por cta'!G90</f>
        <v>0</v>
      </c>
      <c r="H23" s="85">
        <f>'[2]bce gral por cta'!H90</f>
        <v>0</v>
      </c>
    </row>
    <row r="24" spans="1:8" ht="9">
      <c r="A24" s="75">
        <v>13</v>
      </c>
      <c r="B24" s="75" t="s">
        <v>649</v>
      </c>
      <c r="C24" s="85">
        <f>'[2]bce gral por cta'!C97</f>
        <v>0</v>
      </c>
      <c r="D24" s="85">
        <f>'[2]bce gral por cta'!D97</f>
        <v>0</v>
      </c>
      <c r="E24" s="75">
        <v>23</v>
      </c>
      <c r="F24" s="75" t="s">
        <v>650</v>
      </c>
      <c r="G24" s="85">
        <f>'[2]bce gral por cta'!G96</f>
        <v>0</v>
      </c>
      <c r="H24" s="85">
        <f>'[2]bce gral por cta'!H96</f>
        <v>0</v>
      </c>
    </row>
    <row r="25" spans="1:8" ht="9">
      <c r="A25" s="75">
        <v>14</v>
      </c>
      <c r="B25" s="75" t="s">
        <v>658</v>
      </c>
      <c r="C25" s="85">
        <f>'CGN96.001 '!D32</f>
        <v>114478439</v>
      </c>
      <c r="D25" s="85">
        <f>'[2]bce gral por cta'!D102</f>
        <v>63746929</v>
      </c>
      <c r="E25" s="75">
        <v>24</v>
      </c>
      <c r="F25" s="75" t="s">
        <v>657</v>
      </c>
      <c r="G25" s="85">
        <f>'[2]bce gral por cta'!G103</f>
        <v>0</v>
      </c>
      <c r="H25" s="85">
        <f>'[2]bce gral por cta'!H103</f>
        <v>0</v>
      </c>
    </row>
    <row r="26" spans="1:8" ht="9">
      <c r="A26" s="75">
        <v>16</v>
      </c>
      <c r="B26" s="75" t="s">
        <v>753</v>
      </c>
      <c r="C26" s="85">
        <f>'CGN96.001 '!D64</f>
        <v>27834893</v>
      </c>
      <c r="D26" s="85">
        <f>'[2]bce gral por cta'!D113</f>
        <v>27411400</v>
      </c>
      <c r="E26" s="75">
        <v>25</v>
      </c>
      <c r="F26" s="75" t="s">
        <v>762</v>
      </c>
      <c r="G26" s="85">
        <f>'[2]bce gral por cta'!G122</f>
        <v>0</v>
      </c>
      <c r="H26" s="85">
        <f>'[2]bce gral por cta'!H122</f>
        <v>0</v>
      </c>
    </row>
    <row r="27" spans="1:8" ht="9">
      <c r="A27" s="75">
        <v>17</v>
      </c>
      <c r="B27" s="75" t="s">
        <v>776</v>
      </c>
      <c r="C27" s="85">
        <f>'[2]bce gral por cta'!C137</f>
        <v>0</v>
      </c>
      <c r="D27" s="85">
        <f>'[2]bce gral por cta'!D137</f>
        <v>0</v>
      </c>
      <c r="E27" s="75">
        <v>26</v>
      </c>
      <c r="F27" s="75" t="s">
        <v>701</v>
      </c>
      <c r="G27" s="85">
        <f>'[2]bce gral por cta'!G126</f>
        <v>0</v>
      </c>
      <c r="H27" s="85">
        <f>'[2]bce gral por cta'!H126</f>
        <v>0</v>
      </c>
    </row>
    <row r="28" spans="1:8" ht="9">
      <c r="A28" s="75">
        <v>18</v>
      </c>
      <c r="B28" s="75" t="s">
        <v>782</v>
      </c>
      <c r="C28" s="85">
        <f>'[2]bce gral por cta'!C144</f>
        <v>0</v>
      </c>
      <c r="D28" s="85">
        <f>'[2]bce gral por cta'!D144</f>
        <v>0</v>
      </c>
      <c r="E28" s="75">
        <v>27</v>
      </c>
      <c r="F28" s="75" t="s">
        <v>715</v>
      </c>
      <c r="G28" s="85">
        <f>'[2]bce gral por cta'!G134</f>
        <v>0</v>
      </c>
      <c r="H28" s="85">
        <f>'[2]bce gral por cta'!H134</f>
        <v>1959853</v>
      </c>
    </row>
    <row r="29" spans="1:8" ht="9">
      <c r="A29" s="75">
        <v>19</v>
      </c>
      <c r="B29" s="75" t="s">
        <v>235</v>
      </c>
      <c r="C29" s="85">
        <f>'CGN96.001 '!D129</f>
        <v>-21567590</v>
      </c>
      <c r="D29" s="85">
        <f>'[2]bce gral por cta'!D152</f>
        <v>93543266</v>
      </c>
      <c r="E29" s="75">
        <v>29</v>
      </c>
      <c r="F29" s="75" t="s">
        <v>730</v>
      </c>
      <c r="G29" s="85">
        <f>'[2]bce gral por cta'!G142</f>
        <v>0</v>
      </c>
      <c r="H29" s="85">
        <f>'[2]bce gral por cta'!H142</f>
        <v>0</v>
      </c>
    </row>
    <row r="30" spans="2:8" ht="9">
      <c r="B30" s="75" t="s">
        <v>832</v>
      </c>
      <c r="C30" s="85">
        <f>+'[2]bce gral por cta'!C178</f>
        <v>0</v>
      </c>
      <c r="D30" s="85">
        <f>+'[2]bce gral por cta'!D178</f>
        <v>0</v>
      </c>
      <c r="F30" s="75" t="s">
        <v>833</v>
      </c>
      <c r="G30" s="85">
        <f>SUM(G31:G32)</f>
        <v>0</v>
      </c>
      <c r="H30" s="85">
        <f>SUM(H31:H32)</f>
        <v>0</v>
      </c>
    </row>
    <row r="31" spans="2:8" ht="9">
      <c r="B31" s="75" t="s">
        <v>789</v>
      </c>
      <c r="F31" s="75" t="s">
        <v>789</v>
      </c>
      <c r="G31" s="85">
        <f>+'[2]bce gral por cta'!G149</f>
        <v>0</v>
      </c>
      <c r="H31" s="85">
        <f>+'[2]bce gral por cta'!H149</f>
        <v>0</v>
      </c>
    </row>
    <row r="32" spans="2:8" ht="9">
      <c r="B32" s="75" t="s">
        <v>791</v>
      </c>
      <c r="F32" s="75" t="s">
        <v>791</v>
      </c>
      <c r="G32" s="85">
        <f>+'[2]bce gral por cta'!G150</f>
        <v>0</v>
      </c>
      <c r="H32" s="85">
        <f>+'[2]bce gral por cta'!H150</f>
        <v>0</v>
      </c>
    </row>
    <row r="34" spans="5:8" ht="9">
      <c r="E34" s="75">
        <v>3</v>
      </c>
      <c r="F34" s="83" t="s">
        <v>792</v>
      </c>
      <c r="G34" s="84">
        <f>SUM(G35:G36)</f>
        <v>-359366247</v>
      </c>
      <c r="H34" s="84">
        <f>SUM(H35:H36)</f>
        <v>-290660263</v>
      </c>
    </row>
    <row r="35" spans="5:8" ht="9">
      <c r="E35" s="75">
        <v>31</v>
      </c>
      <c r="F35" s="75" t="s">
        <v>793</v>
      </c>
      <c r="G35" s="85">
        <f>'CGN96.001 '!D291</f>
        <v>-359366247</v>
      </c>
      <c r="H35" s="85">
        <f>+'[2]bce gral por cta'!H154</f>
        <v>-293216878</v>
      </c>
    </row>
    <row r="36" spans="5:8" ht="9">
      <c r="E36" s="75">
        <v>32</v>
      </c>
      <c r="F36" s="75" t="s">
        <v>807</v>
      </c>
      <c r="G36" s="85">
        <f>'[2]bce gral por cta'!G165</f>
        <v>0</v>
      </c>
      <c r="H36" s="85">
        <f>'[2]bce gral por cta'!H165</f>
        <v>2556615</v>
      </c>
    </row>
    <row r="39" spans="2:8" s="83" customFormat="1" ht="9">
      <c r="B39" s="83" t="s">
        <v>818</v>
      </c>
      <c r="C39" s="86">
        <f>C12+C22</f>
        <v>386325215</v>
      </c>
      <c r="D39" s="86">
        <f>D12+D22</f>
        <v>388971968</v>
      </c>
      <c r="F39" s="83" t="s">
        <v>819</v>
      </c>
      <c r="G39" s="86">
        <f>G12+G22+G34</f>
        <v>386325215</v>
      </c>
      <c r="H39" s="86">
        <f>H12+H22+H34</f>
        <v>388971968</v>
      </c>
    </row>
    <row r="41" spans="2:8" ht="9">
      <c r="B41" s="83" t="s">
        <v>820</v>
      </c>
      <c r="C41" s="84">
        <f>SUM(C42:C46)</f>
        <v>0</v>
      </c>
      <c r="D41" s="84">
        <f>SUM(D42:D46)</f>
        <v>0</v>
      </c>
      <c r="F41" s="83" t="s">
        <v>821</v>
      </c>
      <c r="G41" s="84">
        <f>SUM(G42:G46)</f>
        <v>0</v>
      </c>
      <c r="H41" s="84">
        <f>SUM(H42:H46)</f>
        <v>0</v>
      </c>
    </row>
    <row r="42" spans="1:8" ht="9">
      <c r="A42" s="75">
        <v>81</v>
      </c>
      <c r="B42" s="75" t="s">
        <v>822</v>
      </c>
      <c r="C42" s="85">
        <f>'[2]bce gral por cta'!C184</f>
        <v>0</v>
      </c>
      <c r="D42" s="85">
        <f>'[2]bce gral por cta'!D184</f>
        <v>0</v>
      </c>
      <c r="E42" s="75">
        <v>91</v>
      </c>
      <c r="F42" s="75" t="s">
        <v>824</v>
      </c>
      <c r="G42" s="85">
        <f>'CGN96.001 '!D620</f>
        <v>337810081</v>
      </c>
      <c r="H42" s="85">
        <f>+'[2]bce gral por cta'!H185</f>
        <v>930904537</v>
      </c>
    </row>
    <row r="43" spans="1:8" ht="9">
      <c r="A43" s="75">
        <v>82</v>
      </c>
      <c r="B43" s="75" t="s">
        <v>823</v>
      </c>
      <c r="C43" s="85">
        <f>'[2]bce gral por cta'!C185</f>
        <v>0</v>
      </c>
      <c r="D43" s="85">
        <f>'[2]bce gral por cta'!D185</f>
        <v>0</v>
      </c>
      <c r="E43" s="75">
        <v>92</v>
      </c>
      <c r="F43" s="75" t="s">
        <v>826</v>
      </c>
      <c r="H43" s="85">
        <f>+'[2]bce gral por cta'!H186</f>
        <v>0</v>
      </c>
    </row>
    <row r="44" spans="1:8" ht="9">
      <c r="A44" s="75">
        <v>83</v>
      </c>
      <c r="B44" s="75" t="s">
        <v>825</v>
      </c>
      <c r="C44" s="85">
        <f>'CGN96.001 '!D602</f>
        <v>763593</v>
      </c>
      <c r="D44" s="85">
        <f>'[2]bce gral por cta'!D186</f>
        <v>1239224</v>
      </c>
      <c r="E44" s="75">
        <v>93</v>
      </c>
      <c r="F44" s="75" t="s">
        <v>828</v>
      </c>
      <c r="G44" s="85">
        <f>'[2]bce gral por cta'!G186</f>
        <v>0</v>
      </c>
      <c r="H44" s="85">
        <f>+'[2]bce gral por cta'!H187</f>
        <v>0</v>
      </c>
    </row>
    <row r="45" spans="1:8" ht="9">
      <c r="A45" s="75">
        <v>84</v>
      </c>
      <c r="B45" s="75" t="s">
        <v>827</v>
      </c>
      <c r="C45" s="85">
        <f>'[2]bce gral por cta'!C187</f>
        <v>0</v>
      </c>
      <c r="D45" s="85">
        <f>'[2]bce gral por cta'!D187</f>
        <v>0</v>
      </c>
      <c r="E45" s="75">
        <v>94</v>
      </c>
      <c r="F45" s="75" t="s">
        <v>830</v>
      </c>
      <c r="G45" s="85">
        <f>'[2]bce gral por cta'!G187</f>
        <v>0</v>
      </c>
      <c r="H45" s="85">
        <f>+'[2]bce gral por cta'!H188</f>
        <v>0</v>
      </c>
    </row>
    <row r="46" spans="1:8" ht="9">
      <c r="A46" s="75">
        <v>89</v>
      </c>
      <c r="B46" s="75" t="s">
        <v>829</v>
      </c>
      <c r="C46" s="85">
        <f>'CGN96.001 '!D613</f>
        <v>-763593</v>
      </c>
      <c r="D46" s="85">
        <f>'[2]bce gral por cta'!D188</f>
        <v>-1239224</v>
      </c>
      <c r="E46" s="75">
        <v>99</v>
      </c>
      <c r="F46" s="75" t="s">
        <v>831</v>
      </c>
      <c r="G46" s="85">
        <f>'CGN96.001 '!D631</f>
        <v>-337810081</v>
      </c>
      <c r="H46" s="85">
        <f>+'[2]bce gral por cta'!H189</f>
        <v>-930904537</v>
      </c>
    </row>
    <row r="51" ht="9.75"/>
    <row r="52" spans="2:7" ht="9.75">
      <c r="B52" s="84" t="s">
        <v>526</v>
      </c>
      <c r="F52" s="83" t="s">
        <v>527</v>
      </c>
      <c r="G52" s="83"/>
    </row>
    <row r="53" spans="2:8" ht="9.75">
      <c r="B53" s="85" t="s">
        <v>528</v>
      </c>
      <c r="F53" s="75" t="s">
        <v>529</v>
      </c>
      <c r="G53" s="75"/>
      <c r="H53" s="75"/>
    </row>
    <row r="54" spans="2:8" ht="9.75">
      <c r="B54" s="83" t="s">
        <v>2</v>
      </c>
      <c r="C54" s="84"/>
      <c r="D54" s="84"/>
      <c r="E54" s="83"/>
      <c r="F54" s="83"/>
      <c r="G54" s="83"/>
      <c r="H54" s="83"/>
    </row>
    <row r="55" spans="2:8" ht="9.75">
      <c r="B55" s="83"/>
      <c r="F55" s="75" t="s">
        <v>2</v>
      </c>
      <c r="G55" s="75"/>
      <c r="H55" s="75"/>
    </row>
    <row r="56" spans="2:7" ht="9">
      <c r="B56" s="83"/>
      <c r="G56" s="75"/>
    </row>
    <row r="57" ht="9">
      <c r="B57" s="83"/>
    </row>
    <row r="58" ht="9">
      <c r="B58" s="87" t="s">
        <v>574</v>
      </c>
    </row>
    <row r="59" ht="9">
      <c r="B59" s="88" t="s">
        <v>542</v>
      </c>
    </row>
    <row r="60" ht="9">
      <c r="B60" s="88" t="s">
        <v>573</v>
      </c>
    </row>
    <row r="61" ht="9">
      <c r="B61" s="83"/>
    </row>
    <row r="62" ht="9">
      <c r="B62" s="83"/>
    </row>
  </sheetData>
  <mergeCells count="4">
    <mergeCell ref="A1:H1"/>
    <mergeCell ref="A2:H2"/>
    <mergeCell ref="A4:H4"/>
    <mergeCell ref="A5:H5"/>
  </mergeCells>
  <printOptions/>
  <pageMargins left="0.3" right="0.25" top="0.27" bottom="0.26" header="0" footer="0"/>
  <pageSetup horizontalDpi="600" verticalDpi="6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60">
      <selection activeCell="B165" sqref="B165:E173"/>
    </sheetView>
  </sheetViews>
  <sheetFormatPr defaultColWidth="11.421875" defaultRowHeight="12.75"/>
  <cols>
    <col min="1" max="1" width="8.28125" style="52" customWidth="1"/>
    <col min="2" max="2" width="47.00390625" style="52" customWidth="1"/>
    <col min="3" max="3" width="14.140625" style="52" hidden="1" customWidth="1"/>
    <col min="4" max="4" width="15.28125" style="52" customWidth="1"/>
    <col min="5" max="5" width="12.7109375" style="58" customWidth="1"/>
    <col min="6" max="6" width="13.28125" style="52" customWidth="1"/>
    <col min="7" max="7" width="11.7109375" style="52" bestFit="1" customWidth="1"/>
    <col min="8" max="16384" width="11.421875" style="52" customWidth="1"/>
  </cols>
  <sheetData>
    <row r="1" spans="1:9" ht="11.25">
      <c r="A1" s="90" t="s">
        <v>7</v>
      </c>
      <c r="B1" s="90"/>
      <c r="C1" s="90"/>
      <c r="D1" s="90"/>
      <c r="E1" s="90"/>
      <c r="F1" s="54"/>
      <c r="G1" s="54"/>
      <c r="H1" s="54"/>
      <c r="I1" s="54"/>
    </row>
    <row r="2" spans="1:5" ht="11.25">
      <c r="A2" s="90" t="s">
        <v>834</v>
      </c>
      <c r="B2" s="90"/>
      <c r="C2" s="90"/>
      <c r="D2" s="90"/>
      <c r="E2" s="90"/>
    </row>
    <row r="3" spans="1:5" ht="12.75" customHeight="1">
      <c r="A3" s="90" t="s">
        <v>835</v>
      </c>
      <c r="B3" s="90"/>
      <c r="C3" s="90"/>
      <c r="D3" s="90"/>
      <c r="E3" s="90"/>
    </row>
    <row r="4" spans="1:5" ht="11.25">
      <c r="A4" s="90" t="s">
        <v>625</v>
      </c>
      <c r="B4" s="90"/>
      <c r="C4" s="90"/>
      <c r="D4" s="90"/>
      <c r="E4" s="90"/>
    </row>
    <row r="5" spans="1:5" ht="11.25">
      <c r="A5" s="90" t="s">
        <v>575</v>
      </c>
      <c r="B5" s="90"/>
      <c r="C5" s="90"/>
      <c r="D5" s="90"/>
      <c r="E5" s="90"/>
    </row>
    <row r="6" spans="1:5" ht="12.75" customHeight="1">
      <c r="A6" s="53"/>
      <c r="B6" s="53"/>
      <c r="C6" s="53"/>
      <c r="D6" s="63" t="s">
        <v>836</v>
      </c>
      <c r="E6" s="63" t="s">
        <v>837</v>
      </c>
    </row>
    <row r="7" spans="1:5" ht="11.25">
      <c r="A7" s="53"/>
      <c r="B7" s="53"/>
      <c r="C7" s="53"/>
      <c r="D7" s="64" t="s">
        <v>626</v>
      </c>
      <c r="E7" s="64" t="s">
        <v>626</v>
      </c>
    </row>
    <row r="8" spans="1:5" ht="11.25">
      <c r="A8" s="53" t="s">
        <v>627</v>
      </c>
      <c r="B8" s="65" t="s">
        <v>838</v>
      </c>
      <c r="C8" s="53"/>
      <c r="D8" s="64" t="s">
        <v>628</v>
      </c>
      <c r="E8" s="64" t="s">
        <v>628</v>
      </c>
    </row>
    <row r="9" spans="1:5" ht="11.25">
      <c r="A9" s="53"/>
      <c r="B9" s="53"/>
      <c r="C9" s="53"/>
      <c r="D9" s="64" t="s">
        <v>629</v>
      </c>
      <c r="E9" s="64" t="s">
        <v>629</v>
      </c>
    </row>
    <row r="10" spans="1:5" ht="11.25">
      <c r="A10" s="54"/>
      <c r="B10" s="54"/>
      <c r="C10" s="54"/>
      <c r="D10" s="55"/>
      <c r="E10" s="55"/>
    </row>
    <row r="11" spans="2:7" ht="11.25">
      <c r="B11" s="56" t="s">
        <v>839</v>
      </c>
      <c r="D11" s="46">
        <f>D12+D19+D24+D43+D54</f>
        <v>10532375632</v>
      </c>
      <c r="E11" s="46">
        <f>E12+E19+E24+E43+E54</f>
        <v>9330178896</v>
      </c>
      <c r="F11" s="58"/>
      <c r="G11" s="58"/>
    </row>
    <row r="12" spans="1:5" ht="11.25">
      <c r="A12" s="52">
        <v>41</v>
      </c>
      <c r="B12" s="61" t="s">
        <v>840</v>
      </c>
      <c r="D12" s="57">
        <f>SUM(D13:D17)</f>
        <v>108268763</v>
      </c>
      <c r="E12" s="57">
        <f>SUM(E13:E17)</f>
        <v>111078920</v>
      </c>
    </row>
    <row r="13" spans="1:5" ht="11.25">
      <c r="A13" s="52">
        <v>4105</v>
      </c>
      <c r="B13" s="52" t="s">
        <v>841</v>
      </c>
      <c r="D13" s="58">
        <v>0</v>
      </c>
      <c r="E13" s="58">
        <v>0</v>
      </c>
    </row>
    <row r="14" spans="1:5" ht="11.25">
      <c r="A14" s="52">
        <v>4110</v>
      </c>
      <c r="B14" s="52" t="s">
        <v>287</v>
      </c>
      <c r="D14" s="58">
        <f>'CGN96.001 '!E328</f>
        <v>2552895</v>
      </c>
      <c r="E14" s="58">
        <v>28686</v>
      </c>
    </row>
    <row r="15" spans="1:5" ht="11.25">
      <c r="A15" s="52">
        <v>4115</v>
      </c>
      <c r="B15" s="52" t="s">
        <v>842</v>
      </c>
      <c r="D15" s="58">
        <v>0</v>
      </c>
      <c r="E15" s="58">
        <v>0</v>
      </c>
    </row>
    <row r="16" spans="1:5" ht="11.25">
      <c r="A16" s="52">
        <v>4120</v>
      </c>
      <c r="B16" s="52" t="s">
        <v>843</v>
      </c>
      <c r="D16" s="58">
        <f>'CGN96.001 '!E335</f>
        <v>105715868</v>
      </c>
      <c r="E16" s="58">
        <v>111078069</v>
      </c>
    </row>
    <row r="17" spans="1:5" ht="11.25">
      <c r="A17" s="52">
        <v>4195</v>
      </c>
      <c r="B17" s="52" t="s">
        <v>844</v>
      </c>
      <c r="D17" s="58">
        <v>0</v>
      </c>
      <c r="E17" s="58">
        <v>-27835</v>
      </c>
    </row>
    <row r="18" ht="11.25">
      <c r="D18" s="58"/>
    </row>
    <row r="19" spans="1:5" ht="11.25">
      <c r="A19" s="52">
        <v>42</v>
      </c>
      <c r="B19" s="56" t="s">
        <v>845</v>
      </c>
      <c r="D19" s="57">
        <f>SUM(D20:D22)</f>
        <v>0</v>
      </c>
      <c r="E19" s="57">
        <f>SUM(E20:E22)</f>
        <v>0</v>
      </c>
    </row>
    <row r="20" spans="1:5" ht="11.25">
      <c r="A20" s="52">
        <v>4205</v>
      </c>
      <c r="B20" s="52" t="s">
        <v>846</v>
      </c>
      <c r="D20" s="58">
        <v>0</v>
      </c>
      <c r="E20" s="58">
        <v>0</v>
      </c>
    </row>
    <row r="21" spans="1:5" ht="11.25">
      <c r="A21" s="52">
        <v>4210</v>
      </c>
      <c r="B21" s="52" t="s">
        <v>847</v>
      </c>
      <c r="D21" s="58">
        <v>0</v>
      </c>
      <c r="E21" s="58">
        <v>0</v>
      </c>
    </row>
    <row r="22" spans="1:5" ht="11.25">
      <c r="A22" s="52">
        <v>4295</v>
      </c>
      <c r="B22" s="52" t="s">
        <v>848</v>
      </c>
      <c r="D22" s="58">
        <v>0</v>
      </c>
      <c r="E22" s="58">
        <v>0</v>
      </c>
    </row>
    <row r="23" ht="11.25">
      <c r="D23" s="58"/>
    </row>
    <row r="24" spans="1:5" ht="11.25">
      <c r="A24" s="52">
        <v>43</v>
      </c>
      <c r="B24" s="56" t="s">
        <v>849</v>
      </c>
      <c r="D24" s="57">
        <f>SUM(D25:D41)</f>
        <v>3093569</v>
      </c>
      <c r="E24" s="57">
        <f>SUM(E25:E41)</f>
        <v>0</v>
      </c>
    </row>
    <row r="25" spans="1:5" ht="11.25">
      <c r="A25" s="52">
        <v>4305</v>
      </c>
      <c r="B25" s="52" t="s">
        <v>850</v>
      </c>
      <c r="D25" s="58">
        <f>'CGN96.001 '!E343</f>
        <v>3484065</v>
      </c>
      <c r="E25" s="58">
        <v>0</v>
      </c>
    </row>
    <row r="26" spans="1:5" ht="11.25">
      <c r="A26" s="52">
        <v>4310</v>
      </c>
      <c r="B26" s="52" t="s">
        <v>851</v>
      </c>
      <c r="D26" s="58">
        <v>0</v>
      </c>
      <c r="E26" s="58">
        <v>0</v>
      </c>
    </row>
    <row r="27" spans="1:5" ht="11.25">
      <c r="A27" s="52">
        <v>4312</v>
      </c>
      <c r="B27" s="52" t="s">
        <v>852</v>
      </c>
      <c r="D27" s="58">
        <v>0</v>
      </c>
      <c r="E27" s="58">
        <v>0</v>
      </c>
    </row>
    <row r="28" spans="1:5" ht="11.25">
      <c r="A28" s="52">
        <v>4315</v>
      </c>
      <c r="B28" s="52" t="s">
        <v>853</v>
      </c>
      <c r="D28" s="58">
        <v>0</v>
      </c>
      <c r="E28" s="58">
        <v>0</v>
      </c>
    </row>
    <row r="29" spans="1:5" ht="11.25">
      <c r="A29" s="52">
        <v>4321</v>
      </c>
      <c r="B29" s="52" t="s">
        <v>854</v>
      </c>
      <c r="D29" s="58">
        <v>0</v>
      </c>
      <c r="E29" s="58">
        <v>0</v>
      </c>
    </row>
    <row r="30" spans="1:5" ht="11.25">
      <c r="A30" s="52">
        <v>4322</v>
      </c>
      <c r="B30" s="52" t="s">
        <v>855</v>
      </c>
      <c r="D30" s="58">
        <v>0</v>
      </c>
      <c r="E30" s="58">
        <v>0</v>
      </c>
    </row>
    <row r="31" spans="1:5" ht="11.25">
      <c r="A31" s="52">
        <v>4323</v>
      </c>
      <c r="B31" s="52" t="s">
        <v>856</v>
      </c>
      <c r="D31" s="58">
        <v>0</v>
      </c>
      <c r="E31" s="58">
        <v>0</v>
      </c>
    </row>
    <row r="32" spans="1:5" ht="11.25">
      <c r="A32" s="52">
        <v>4325</v>
      </c>
      <c r="B32" s="52" t="s">
        <v>857</v>
      </c>
      <c r="D32" s="58">
        <v>0</v>
      </c>
      <c r="E32" s="58">
        <v>0</v>
      </c>
    </row>
    <row r="33" spans="1:5" ht="11.25">
      <c r="A33" s="52">
        <v>4330</v>
      </c>
      <c r="B33" s="52" t="s">
        <v>858</v>
      </c>
      <c r="D33" s="58">
        <v>0</v>
      </c>
      <c r="E33" s="58">
        <v>0</v>
      </c>
    </row>
    <row r="34" spans="1:5" ht="11.25">
      <c r="A34" s="52">
        <v>4335</v>
      </c>
      <c r="B34" s="52" t="s">
        <v>859</v>
      </c>
      <c r="D34" s="58">
        <v>0</v>
      </c>
      <c r="E34" s="58">
        <v>0</v>
      </c>
    </row>
    <row r="35" spans="1:6" ht="11.25">
      <c r="A35" s="52">
        <v>4340</v>
      </c>
      <c r="B35" s="52" t="s">
        <v>860</v>
      </c>
      <c r="D35" s="58">
        <v>0</v>
      </c>
      <c r="E35" s="58">
        <v>0</v>
      </c>
      <c r="F35" s="58"/>
    </row>
    <row r="36" spans="1:5" ht="11.25">
      <c r="A36" s="52">
        <v>4345</v>
      </c>
      <c r="B36" s="52" t="s">
        <v>861</v>
      </c>
      <c r="D36" s="58">
        <v>0</v>
      </c>
      <c r="E36" s="58">
        <v>0</v>
      </c>
    </row>
    <row r="37" spans="1:5" ht="11.25">
      <c r="A37" s="52">
        <v>4350</v>
      </c>
      <c r="B37" s="52" t="s">
        <v>862</v>
      </c>
      <c r="D37" s="58">
        <v>0</v>
      </c>
      <c r="E37" s="58">
        <v>0</v>
      </c>
    </row>
    <row r="38" spans="1:5" ht="11.25">
      <c r="A38" s="52">
        <v>4355</v>
      </c>
      <c r="B38" s="52" t="s">
        <v>863</v>
      </c>
      <c r="D38" s="58">
        <v>0</v>
      </c>
      <c r="E38" s="58">
        <v>0</v>
      </c>
    </row>
    <row r="39" spans="1:5" ht="11.25">
      <c r="A39" s="52">
        <v>4360</v>
      </c>
      <c r="B39" s="52" t="s">
        <v>864</v>
      </c>
      <c r="D39" s="58">
        <v>0</v>
      </c>
      <c r="E39" s="58">
        <v>0</v>
      </c>
    </row>
    <row r="40" spans="1:5" ht="11.25">
      <c r="A40" s="52">
        <v>4390</v>
      </c>
      <c r="B40" s="52" t="s">
        <v>865</v>
      </c>
      <c r="D40" s="58">
        <v>0</v>
      </c>
      <c r="E40" s="58">
        <v>0</v>
      </c>
    </row>
    <row r="41" spans="1:5" ht="11.25">
      <c r="A41" s="52">
        <v>4395</v>
      </c>
      <c r="B41" s="52" t="s">
        <v>866</v>
      </c>
      <c r="D41" s="58">
        <f>'CGN96.001 '!E346</f>
        <v>-390496</v>
      </c>
      <c r="E41" s="58">
        <v>0</v>
      </c>
    </row>
    <row r="42" ht="11.25">
      <c r="D42" s="58"/>
    </row>
    <row r="43" spans="1:5" ht="11.25">
      <c r="A43" s="52">
        <v>44</v>
      </c>
      <c r="B43" s="56" t="s">
        <v>662</v>
      </c>
      <c r="D43" s="57">
        <f>SUM(D44:D52)</f>
        <v>1610785</v>
      </c>
      <c r="E43" s="57">
        <f>SUM(E45:E52)</f>
        <v>0</v>
      </c>
    </row>
    <row r="44" spans="1:5" ht="11.25">
      <c r="A44" s="52">
        <v>4403</v>
      </c>
      <c r="B44" s="52" t="s">
        <v>953</v>
      </c>
      <c r="D44" s="58">
        <f>'CGN96.001 '!E349</f>
        <v>1610785</v>
      </c>
      <c r="E44" s="58">
        <v>0</v>
      </c>
    </row>
    <row r="45" spans="1:5" ht="11.25">
      <c r="A45" s="52">
        <v>4405</v>
      </c>
      <c r="B45" s="52" t="s">
        <v>867</v>
      </c>
      <c r="D45" s="58">
        <v>0</v>
      </c>
      <c r="E45" s="58">
        <v>0</v>
      </c>
    </row>
    <row r="46" spans="1:5" ht="11.25">
      <c r="A46" s="52">
        <v>4406</v>
      </c>
      <c r="B46" s="52" t="s">
        <v>868</v>
      </c>
      <c r="D46" s="58">
        <v>0</v>
      </c>
      <c r="E46" s="58">
        <v>0</v>
      </c>
    </row>
    <row r="47" spans="1:5" ht="11.25">
      <c r="A47" s="52">
        <v>4407</v>
      </c>
      <c r="B47" s="52" t="s">
        <v>869</v>
      </c>
      <c r="D47" s="58">
        <v>0</v>
      </c>
      <c r="E47" s="58">
        <v>0</v>
      </c>
    </row>
    <row r="48" spans="1:5" ht="11.25">
      <c r="A48" s="52">
        <v>4419</v>
      </c>
      <c r="B48" s="52" t="s">
        <v>870</v>
      </c>
      <c r="D48" s="58">
        <v>0</v>
      </c>
      <c r="E48" s="58">
        <v>0</v>
      </c>
    </row>
    <row r="49" spans="2:4" ht="11.25">
      <c r="B49" s="52" t="s">
        <v>871</v>
      </c>
      <c r="D49" s="58"/>
    </row>
    <row r="50" spans="1:5" ht="11.25">
      <c r="A50" s="52">
        <v>4420</v>
      </c>
      <c r="B50" s="52" t="s">
        <v>872</v>
      </c>
      <c r="D50" s="58">
        <v>0</v>
      </c>
      <c r="E50" s="58">
        <v>0</v>
      </c>
    </row>
    <row r="51" spans="1:5" ht="11.25">
      <c r="A51" s="52">
        <v>4425</v>
      </c>
      <c r="B51" s="52" t="s">
        <v>873</v>
      </c>
      <c r="D51" s="58">
        <v>0</v>
      </c>
      <c r="E51" s="58">
        <v>0</v>
      </c>
    </row>
    <row r="52" spans="1:5" ht="11.25">
      <c r="A52" s="52">
        <v>4470</v>
      </c>
      <c r="B52" s="52" t="s">
        <v>874</v>
      </c>
      <c r="D52" s="58">
        <v>0</v>
      </c>
      <c r="E52" s="58">
        <v>0</v>
      </c>
    </row>
    <row r="53" ht="11.25">
      <c r="D53" s="58"/>
    </row>
    <row r="54" spans="1:5" ht="11.25">
      <c r="A54" s="52">
        <v>47</v>
      </c>
      <c r="B54" s="56" t="s">
        <v>875</v>
      </c>
      <c r="D54" s="57">
        <f>SUM(D55:D58)</f>
        <v>10419402515</v>
      </c>
      <c r="E54" s="57">
        <f>SUM(E55:E58)</f>
        <v>9219099976</v>
      </c>
    </row>
    <row r="55" spans="1:5" ht="11.25">
      <c r="A55" s="52">
        <v>4705</v>
      </c>
      <c r="B55" s="52" t="s">
        <v>876</v>
      </c>
      <c r="D55" s="58">
        <f>'CGN96.001 '!E352</f>
        <v>10355313106</v>
      </c>
      <c r="E55" s="58">
        <v>9206394732</v>
      </c>
    </row>
    <row r="56" spans="1:5" ht="11.25">
      <c r="A56" s="52">
        <v>4720</v>
      </c>
      <c r="B56" s="52" t="s">
        <v>877</v>
      </c>
      <c r="D56" s="58">
        <f>'CGN96.001 '!E358</f>
        <v>920199</v>
      </c>
      <c r="E56" s="58">
        <v>3321</v>
      </c>
    </row>
    <row r="57" spans="2:4" ht="11.25">
      <c r="B57" s="52" t="s">
        <v>878</v>
      </c>
      <c r="D57" s="58"/>
    </row>
    <row r="58" spans="1:5" ht="11.25">
      <c r="A58" s="52">
        <v>4722</v>
      </c>
      <c r="B58" s="52" t="s">
        <v>879</v>
      </c>
      <c r="D58" s="58">
        <f>'CGN96.001 '!E362</f>
        <v>63169210</v>
      </c>
      <c r="E58" s="58">
        <v>12701923</v>
      </c>
    </row>
    <row r="59" spans="1:5" ht="11.25">
      <c r="A59" s="52">
        <v>4725</v>
      </c>
      <c r="B59" s="52" t="s">
        <v>880</v>
      </c>
      <c r="D59" s="58">
        <v>0</v>
      </c>
      <c r="E59" s="58">
        <v>0</v>
      </c>
    </row>
    <row r="60" ht="11.25">
      <c r="D60" s="58"/>
    </row>
    <row r="61" spans="1:5" ht="12.75">
      <c r="A61" s="66"/>
      <c r="B61" s="56" t="s">
        <v>881</v>
      </c>
      <c r="D61" s="46">
        <f>-D62</f>
        <v>0</v>
      </c>
      <c r="E61" s="46">
        <f>-E62</f>
        <v>0</v>
      </c>
    </row>
    <row r="62" spans="1:5" ht="11.25">
      <c r="A62" s="52">
        <v>61</v>
      </c>
      <c r="B62" s="52" t="s">
        <v>882</v>
      </c>
      <c r="D62" s="67">
        <f>SUM(D63:D79)</f>
        <v>0</v>
      </c>
      <c r="E62" s="67">
        <f>SUM(E63:E79)</f>
        <v>0</v>
      </c>
    </row>
    <row r="63" spans="1:5" ht="11.25">
      <c r="A63" s="52">
        <v>6105</v>
      </c>
      <c r="B63" s="52" t="s">
        <v>679</v>
      </c>
      <c r="D63" s="58">
        <v>0</v>
      </c>
      <c r="E63" s="58">
        <v>0</v>
      </c>
    </row>
    <row r="64" spans="1:5" ht="11.25">
      <c r="A64" s="52">
        <v>6110</v>
      </c>
      <c r="B64" s="52" t="s">
        <v>847</v>
      </c>
      <c r="D64" s="58">
        <v>0</v>
      </c>
      <c r="E64" s="58">
        <v>0</v>
      </c>
    </row>
    <row r="65" spans="1:5" ht="11.25">
      <c r="A65" s="52">
        <v>6115</v>
      </c>
      <c r="B65" s="52" t="s">
        <v>850</v>
      </c>
      <c r="D65" s="58">
        <v>0</v>
      </c>
      <c r="E65" s="58">
        <v>0</v>
      </c>
    </row>
    <row r="66" spans="1:5" ht="11.25">
      <c r="A66" s="52">
        <v>6120</v>
      </c>
      <c r="B66" s="52" t="s">
        <v>851</v>
      </c>
      <c r="D66" s="58">
        <v>0</v>
      </c>
      <c r="E66" s="58">
        <v>0</v>
      </c>
    </row>
    <row r="67" spans="1:5" ht="11.25">
      <c r="A67" s="52">
        <v>6122</v>
      </c>
      <c r="B67" s="52" t="s">
        <v>852</v>
      </c>
      <c r="D67" s="58">
        <v>0</v>
      </c>
      <c r="E67" s="58">
        <v>0</v>
      </c>
    </row>
    <row r="68" spans="1:5" ht="11.25">
      <c r="A68" s="52">
        <v>6125</v>
      </c>
      <c r="B68" s="52" t="s">
        <v>853</v>
      </c>
      <c r="D68" s="58">
        <v>0</v>
      </c>
      <c r="E68" s="58">
        <v>0</v>
      </c>
    </row>
    <row r="69" spans="1:5" ht="11.25">
      <c r="A69" s="52">
        <v>6131</v>
      </c>
      <c r="B69" s="52" t="s">
        <v>854</v>
      </c>
      <c r="D69" s="58">
        <v>0</v>
      </c>
      <c r="E69" s="58">
        <v>0</v>
      </c>
    </row>
    <row r="70" spans="1:5" ht="11.25">
      <c r="A70" s="52">
        <v>6132</v>
      </c>
      <c r="B70" s="52" t="s">
        <v>855</v>
      </c>
      <c r="D70" s="58">
        <v>0</v>
      </c>
      <c r="E70" s="58">
        <v>0</v>
      </c>
    </row>
    <row r="71" spans="1:5" ht="11.25">
      <c r="A71" s="52">
        <v>6133</v>
      </c>
      <c r="B71" s="52" t="s">
        <v>856</v>
      </c>
      <c r="D71" s="58">
        <v>0</v>
      </c>
      <c r="E71" s="58">
        <v>0</v>
      </c>
    </row>
    <row r="72" spans="1:5" ht="11.25">
      <c r="A72" s="52">
        <v>6135</v>
      </c>
      <c r="B72" s="52" t="s">
        <v>857</v>
      </c>
      <c r="D72" s="58">
        <v>0</v>
      </c>
      <c r="E72" s="58">
        <v>0</v>
      </c>
    </row>
    <row r="73" spans="1:5" ht="11.25">
      <c r="A73" s="52">
        <v>6140</v>
      </c>
      <c r="B73" s="52" t="s">
        <v>858</v>
      </c>
      <c r="D73" s="58">
        <v>0</v>
      </c>
      <c r="E73" s="58">
        <v>0</v>
      </c>
    </row>
    <row r="74" spans="1:5" ht="11.25">
      <c r="A74" s="52">
        <v>6145</v>
      </c>
      <c r="B74" s="52" t="s">
        <v>859</v>
      </c>
      <c r="D74" s="58">
        <v>0</v>
      </c>
      <c r="E74" s="58">
        <v>0</v>
      </c>
    </row>
    <row r="75" spans="1:5" ht="11.25">
      <c r="A75" s="52">
        <v>6150</v>
      </c>
      <c r="B75" s="52" t="s">
        <v>860</v>
      </c>
      <c r="D75" s="58">
        <v>0</v>
      </c>
      <c r="E75" s="58">
        <v>0</v>
      </c>
    </row>
    <row r="76" spans="1:5" ht="11.25">
      <c r="A76" s="52">
        <v>6155</v>
      </c>
      <c r="B76" s="52" t="s">
        <v>861</v>
      </c>
      <c r="D76" s="58">
        <v>0</v>
      </c>
      <c r="E76" s="58">
        <v>0</v>
      </c>
    </row>
    <row r="77" spans="1:5" ht="11.25">
      <c r="A77" s="52">
        <v>6160</v>
      </c>
      <c r="B77" s="52" t="s">
        <v>862</v>
      </c>
      <c r="D77" s="58">
        <v>0</v>
      </c>
      <c r="E77" s="58">
        <v>0</v>
      </c>
    </row>
    <row r="78" spans="1:5" ht="11.25">
      <c r="A78" s="52">
        <v>6165</v>
      </c>
      <c r="B78" s="52" t="s">
        <v>863</v>
      </c>
      <c r="D78" s="58">
        <v>0</v>
      </c>
      <c r="E78" s="58">
        <v>0</v>
      </c>
    </row>
    <row r="79" spans="1:5" ht="11.25">
      <c r="A79" s="52">
        <v>6190</v>
      </c>
      <c r="B79" s="52" t="s">
        <v>865</v>
      </c>
      <c r="D79" s="58">
        <v>0</v>
      </c>
      <c r="E79" s="58">
        <v>0</v>
      </c>
    </row>
    <row r="80" ht="11.25">
      <c r="D80" s="58"/>
    </row>
    <row r="81" ht="11.25">
      <c r="D81" s="58"/>
    </row>
    <row r="82" spans="2:7" ht="11.25">
      <c r="B82" s="56" t="s">
        <v>883</v>
      </c>
      <c r="D82" s="46">
        <f>-(D84+D92+D96+D104+D118+D122+D126)</f>
        <v>-10635741450</v>
      </c>
      <c r="E82" s="46">
        <f>-(E84+E92+E96+E104+E118+E122+E126)</f>
        <v>-9683340012</v>
      </c>
      <c r="F82" s="58"/>
      <c r="G82" s="58"/>
    </row>
    <row r="83" spans="2:5" ht="11.25">
      <c r="B83" s="56"/>
      <c r="D83" s="60"/>
      <c r="E83" s="60"/>
    </row>
    <row r="84" spans="1:7" ht="11.25">
      <c r="A84" s="52">
        <v>51</v>
      </c>
      <c r="B84" s="56" t="s">
        <v>884</v>
      </c>
      <c r="D84" s="57">
        <f>SUM(D85:D90)</f>
        <v>79191539</v>
      </c>
      <c r="E84" s="57">
        <f>SUM(E85:E90)</f>
        <v>17593429</v>
      </c>
      <c r="G84" s="58"/>
    </row>
    <row r="85" spans="1:5" ht="11.25">
      <c r="A85" s="52">
        <v>5101</v>
      </c>
      <c r="B85" s="52" t="s">
        <v>885</v>
      </c>
      <c r="D85" s="58">
        <f>'CGN96.001 '!E398</f>
        <v>15131564</v>
      </c>
      <c r="E85" s="58">
        <v>10933637</v>
      </c>
    </row>
    <row r="86" spans="1:5" ht="11.25">
      <c r="A86" s="52">
        <v>5102</v>
      </c>
      <c r="B86" s="52" t="s">
        <v>886</v>
      </c>
      <c r="D86" s="58">
        <f>'CGN96.001 '!E426</f>
        <v>25430</v>
      </c>
      <c r="E86" s="58">
        <v>82588</v>
      </c>
    </row>
    <row r="87" spans="1:5" ht="11.25">
      <c r="A87" s="52">
        <v>5103</v>
      </c>
      <c r="B87" s="52" t="s">
        <v>887</v>
      </c>
      <c r="D87" s="58">
        <f>'CGN96.001 '!E429</f>
        <v>2095828</v>
      </c>
      <c r="E87" s="58">
        <v>1485193</v>
      </c>
    </row>
    <row r="88" spans="1:5" ht="11.25">
      <c r="A88" s="52">
        <v>5104</v>
      </c>
      <c r="B88" s="52" t="s">
        <v>888</v>
      </c>
      <c r="D88" s="58">
        <f>'CGN96.001 '!E436</f>
        <v>479786</v>
      </c>
      <c r="E88" s="58">
        <v>361038</v>
      </c>
    </row>
    <row r="89" spans="1:5" ht="11.25">
      <c r="A89" s="52">
        <v>5111</v>
      </c>
      <c r="B89" s="52" t="s">
        <v>889</v>
      </c>
      <c r="D89" s="58">
        <f>'CGN96.001 '!E441</f>
        <v>8195230</v>
      </c>
      <c r="E89" s="58">
        <v>2293757</v>
      </c>
    </row>
    <row r="90" spans="1:5" ht="11.25">
      <c r="A90" s="52">
        <v>5120</v>
      </c>
      <c r="B90" s="52" t="s">
        <v>890</v>
      </c>
      <c r="D90" s="58">
        <f>'CGN96.001 '!E474</f>
        <v>53263701</v>
      </c>
      <c r="E90" s="58">
        <v>2437216</v>
      </c>
    </row>
    <row r="91" ht="11.25">
      <c r="D91" s="58"/>
    </row>
    <row r="92" spans="1:5" ht="11.25">
      <c r="A92" s="52">
        <v>52</v>
      </c>
      <c r="B92" s="56" t="s">
        <v>891</v>
      </c>
      <c r="D92" s="57">
        <f>SUM(D93:D94)</f>
        <v>0</v>
      </c>
      <c r="E92" s="57">
        <f>SUM(E93:E94)</f>
        <v>0</v>
      </c>
    </row>
    <row r="93" spans="1:5" ht="11.25">
      <c r="A93" s="52">
        <v>5205</v>
      </c>
      <c r="B93" s="52" t="s">
        <v>892</v>
      </c>
      <c r="D93" s="58">
        <v>0</v>
      </c>
      <c r="E93" s="58">
        <v>0</v>
      </c>
    </row>
    <row r="94" spans="1:5" ht="11.25">
      <c r="A94" s="52">
        <v>5210</v>
      </c>
      <c r="B94" s="52" t="s">
        <v>889</v>
      </c>
      <c r="D94" s="58">
        <v>0</v>
      </c>
      <c r="E94" s="58">
        <v>0</v>
      </c>
    </row>
    <row r="95" ht="11.25">
      <c r="D95" s="58"/>
    </row>
    <row r="96" spans="1:5" ht="11.25">
      <c r="A96" s="52">
        <v>53</v>
      </c>
      <c r="B96" s="56" t="s">
        <v>893</v>
      </c>
      <c r="D96" s="57">
        <f>SUM(D97:D102)</f>
        <v>1492544</v>
      </c>
      <c r="E96" s="57">
        <f>SUM(E97:E102)</f>
        <v>20708645</v>
      </c>
    </row>
    <row r="97" spans="1:5" ht="11.25">
      <c r="A97" s="52">
        <v>5304</v>
      </c>
      <c r="B97" s="52" t="s">
        <v>676</v>
      </c>
      <c r="D97" s="58">
        <f>'CGN96.001 '!E485</f>
        <v>52621</v>
      </c>
      <c r="E97" s="58">
        <v>771441</v>
      </c>
    </row>
    <row r="98" spans="1:5" ht="11.25">
      <c r="A98" s="52">
        <v>5310</v>
      </c>
      <c r="B98" s="52" t="s">
        <v>894</v>
      </c>
      <c r="D98" s="58">
        <v>0</v>
      </c>
      <c r="E98" s="58">
        <v>0</v>
      </c>
    </row>
    <row r="99" spans="1:5" ht="11.25">
      <c r="A99" s="52">
        <v>5314</v>
      </c>
      <c r="B99" s="52" t="s">
        <v>719</v>
      </c>
      <c r="D99" s="58">
        <f>'CGN96.001 '!E493</f>
        <v>1135974</v>
      </c>
      <c r="E99" s="58">
        <v>19472820</v>
      </c>
    </row>
    <row r="100" spans="1:5" ht="11.25">
      <c r="A100" s="52">
        <v>5330</v>
      </c>
      <c r="B100" s="52" t="s">
        <v>895</v>
      </c>
      <c r="D100" s="58">
        <f>'CGN96.001 '!E495</f>
        <v>275124</v>
      </c>
      <c r="E100" s="58">
        <v>357421</v>
      </c>
    </row>
    <row r="101" spans="1:5" ht="11.25">
      <c r="A101" s="52">
        <v>5344</v>
      </c>
      <c r="B101" s="52" t="s">
        <v>896</v>
      </c>
      <c r="D101" s="58">
        <v>0</v>
      </c>
      <c r="E101" s="58">
        <v>10006</v>
      </c>
    </row>
    <row r="102" spans="1:5" ht="11.25">
      <c r="A102" s="52">
        <v>5345</v>
      </c>
      <c r="B102" s="52" t="s">
        <v>897</v>
      </c>
      <c r="D102" s="58">
        <f>'CGN96.001 '!E505</f>
        <v>28825</v>
      </c>
      <c r="E102" s="58">
        <v>96957</v>
      </c>
    </row>
    <row r="103" ht="11.25">
      <c r="D103" s="58"/>
    </row>
    <row r="104" spans="1:5" ht="11.25">
      <c r="A104" s="52">
        <v>54</v>
      </c>
      <c r="B104" s="56" t="s">
        <v>662</v>
      </c>
      <c r="D104" s="57">
        <f>SUM(D105:D116)</f>
        <v>10503081833</v>
      </c>
      <c r="E104" s="57">
        <f>SUM(E105:E116)</f>
        <v>9564096180</v>
      </c>
    </row>
    <row r="105" spans="1:5" ht="11.25">
      <c r="A105" s="52">
        <v>5401</v>
      </c>
      <c r="B105" s="52" t="s">
        <v>898</v>
      </c>
      <c r="D105" s="58">
        <f>'CGN96.001 '!E509</f>
        <v>1851184</v>
      </c>
      <c r="E105" s="58">
        <v>9296876</v>
      </c>
    </row>
    <row r="106" spans="1:5" ht="11.25">
      <c r="A106" s="52">
        <v>5403</v>
      </c>
      <c r="B106" s="52" t="s">
        <v>899</v>
      </c>
      <c r="D106" s="58">
        <f>'CGN96.001 '!E515</f>
        <v>2523074389</v>
      </c>
      <c r="E106" s="58">
        <v>1633166262</v>
      </c>
    </row>
    <row r="107" spans="1:5" ht="11.25">
      <c r="A107" s="52">
        <v>5404</v>
      </c>
      <c r="B107" s="52" t="s">
        <v>900</v>
      </c>
      <c r="D107" s="58">
        <f>'CGN96.001 '!E531</f>
        <v>290682</v>
      </c>
      <c r="E107" s="58">
        <v>405696</v>
      </c>
    </row>
    <row r="108" spans="1:5" ht="11.25">
      <c r="A108" s="52">
        <v>5407</v>
      </c>
      <c r="B108" s="52" t="s">
        <v>157</v>
      </c>
      <c r="D108" s="58">
        <v>0</v>
      </c>
      <c r="E108" s="58">
        <v>0</v>
      </c>
    </row>
    <row r="109" spans="1:5" ht="11.25">
      <c r="A109" s="52">
        <v>5408</v>
      </c>
      <c r="B109" s="52" t="s">
        <v>901</v>
      </c>
      <c r="D109" s="58">
        <f>'CGN96.001 '!E540</f>
        <v>7977865578</v>
      </c>
      <c r="E109" s="58">
        <v>7920565108</v>
      </c>
    </row>
    <row r="110" spans="1:5" ht="11.25">
      <c r="A110" s="52">
        <v>5411</v>
      </c>
      <c r="B110" s="52" t="s">
        <v>902</v>
      </c>
      <c r="D110" s="58">
        <v>0</v>
      </c>
      <c r="E110" s="58">
        <v>0</v>
      </c>
    </row>
    <row r="111" spans="1:5" ht="11.25">
      <c r="A111" s="52">
        <v>5415</v>
      </c>
      <c r="B111" s="52" t="s">
        <v>903</v>
      </c>
      <c r="D111" s="58">
        <v>0</v>
      </c>
      <c r="E111" s="58">
        <v>0</v>
      </c>
    </row>
    <row r="112" spans="1:5" ht="11.25">
      <c r="A112" s="52">
        <v>5417</v>
      </c>
      <c r="B112" s="52" t="s">
        <v>904</v>
      </c>
      <c r="D112" s="58">
        <v>0</v>
      </c>
      <c r="E112" s="58">
        <v>662238</v>
      </c>
    </row>
    <row r="113" spans="1:5" ht="11.25">
      <c r="A113" s="52">
        <v>5419</v>
      </c>
      <c r="B113" s="52" t="s">
        <v>905</v>
      </c>
      <c r="D113" s="58">
        <v>0</v>
      </c>
      <c r="E113" s="58">
        <v>0</v>
      </c>
    </row>
    <row r="114" spans="1:5" ht="12.75">
      <c r="A114" s="66"/>
      <c r="B114" s="52" t="s">
        <v>906</v>
      </c>
      <c r="D114" s="58">
        <v>0</v>
      </c>
      <c r="E114" s="58">
        <v>0</v>
      </c>
    </row>
    <row r="115" spans="1:5" ht="11.25">
      <c r="A115" s="52">
        <v>5420</v>
      </c>
      <c r="B115" s="52" t="s">
        <v>907</v>
      </c>
      <c r="D115" s="58">
        <v>0</v>
      </c>
      <c r="E115" s="58">
        <v>0</v>
      </c>
    </row>
    <row r="116" spans="1:5" ht="11.25">
      <c r="A116" s="52">
        <v>5425</v>
      </c>
      <c r="B116" s="52" t="s">
        <v>873</v>
      </c>
      <c r="D116" s="58">
        <v>0</v>
      </c>
      <c r="E116" s="58">
        <v>0</v>
      </c>
    </row>
    <row r="117" ht="11.25">
      <c r="D117" s="58"/>
    </row>
    <row r="118" spans="1:5" ht="11.25">
      <c r="A118" s="61">
        <v>55</v>
      </c>
      <c r="B118" s="61" t="s">
        <v>908</v>
      </c>
      <c r="D118" s="57">
        <f>SUM(D119:D120)</f>
        <v>21324541</v>
      </c>
      <c r="E118" s="57">
        <f>SUM(E119:E120)</f>
        <v>63101536</v>
      </c>
    </row>
    <row r="119" spans="1:5" ht="11.25">
      <c r="A119" s="52">
        <v>5501</v>
      </c>
      <c r="B119" s="52" t="s">
        <v>180</v>
      </c>
      <c r="D119" s="58">
        <f>'CGN96.001 '!E556</f>
        <v>21324541</v>
      </c>
      <c r="E119" s="58">
        <v>53043319</v>
      </c>
    </row>
    <row r="120" spans="1:5" ht="11.25">
      <c r="A120" s="52">
        <v>5550</v>
      </c>
      <c r="B120" s="52" t="s">
        <v>673</v>
      </c>
      <c r="D120" s="58">
        <v>0</v>
      </c>
      <c r="E120" s="58">
        <v>10058217</v>
      </c>
    </row>
    <row r="121" ht="11.25">
      <c r="D121" s="58"/>
    </row>
    <row r="122" spans="1:5" ht="11.25">
      <c r="A122" s="61">
        <v>56</v>
      </c>
      <c r="B122" s="61" t="s">
        <v>909</v>
      </c>
      <c r="D122" s="57">
        <f>+D123</f>
        <v>0</v>
      </c>
      <c r="E122" s="57">
        <f>+E123</f>
        <v>522144</v>
      </c>
    </row>
    <row r="123" spans="1:5" ht="11.25">
      <c r="A123" s="52">
        <v>5602</v>
      </c>
      <c r="B123" s="52" t="s">
        <v>910</v>
      </c>
      <c r="D123" s="58">
        <v>0</v>
      </c>
      <c r="E123" s="58">
        <v>522144</v>
      </c>
    </row>
    <row r="124" ht="11.25">
      <c r="D124" s="58"/>
    </row>
    <row r="125" ht="11.25">
      <c r="D125" s="58"/>
    </row>
    <row r="126" spans="1:5" ht="11.25">
      <c r="A126" s="52">
        <v>57</v>
      </c>
      <c r="B126" s="61" t="s">
        <v>911</v>
      </c>
      <c r="D126" s="57">
        <f>SUM(D127:D130)</f>
        <v>30650993</v>
      </c>
      <c r="E126" s="57">
        <f>SUM(E127:E130)</f>
        <v>17318078</v>
      </c>
    </row>
    <row r="127" spans="1:5" ht="11.25">
      <c r="A127" s="52">
        <v>5705</v>
      </c>
      <c r="B127" s="52" t="s">
        <v>912</v>
      </c>
      <c r="D127" s="58">
        <f>'CGN96.001 '!E566</f>
        <v>3665226</v>
      </c>
      <c r="E127" s="58">
        <v>0</v>
      </c>
    </row>
    <row r="128" spans="1:5" ht="11.25">
      <c r="A128" s="52">
        <v>5720</v>
      </c>
      <c r="B128" s="52" t="s">
        <v>913</v>
      </c>
      <c r="D128" s="58">
        <f>'CGN96.001 '!E573</f>
        <v>23792385</v>
      </c>
      <c r="E128" s="58">
        <v>17318078</v>
      </c>
    </row>
    <row r="129" spans="1:5" ht="11.25">
      <c r="A129" s="52">
        <v>5722</v>
      </c>
      <c r="B129" s="52" t="s">
        <v>879</v>
      </c>
      <c r="D129" s="58">
        <f>'CGN96.001 '!E575</f>
        <v>3193382</v>
      </c>
      <c r="E129" s="58">
        <v>0</v>
      </c>
    </row>
    <row r="130" spans="1:5" ht="11.25">
      <c r="A130" s="52">
        <v>5725</v>
      </c>
      <c r="B130" s="52" t="s">
        <v>914</v>
      </c>
      <c r="D130" s="58">
        <v>0</v>
      </c>
      <c r="E130" s="58">
        <v>0</v>
      </c>
    </row>
    <row r="131" ht="11.25">
      <c r="D131" s="58"/>
    </row>
    <row r="132" spans="2:7" ht="11.25">
      <c r="B132" s="56" t="s">
        <v>915</v>
      </c>
      <c r="D132" s="46">
        <f>+D11+D61+D82</f>
        <v>-103365818</v>
      </c>
      <c r="E132" s="46">
        <f>+E11+E61+E82</f>
        <v>-353161116</v>
      </c>
      <c r="F132" s="58"/>
      <c r="G132" s="58"/>
    </row>
    <row r="133" spans="4:6" ht="11.25">
      <c r="D133" s="58"/>
      <c r="F133" s="58"/>
    </row>
    <row r="134" spans="1:6" ht="11.25">
      <c r="A134" s="52">
        <v>48</v>
      </c>
      <c r="B134" s="56" t="s">
        <v>916</v>
      </c>
      <c r="D134" s="60">
        <f>SUM(D135:D138)</f>
        <v>133120126</v>
      </c>
      <c r="E134" s="60">
        <f>SUM(E135:E138)</f>
        <v>92250321</v>
      </c>
      <c r="F134" s="58"/>
    </row>
    <row r="135" spans="1:5" ht="11.25">
      <c r="A135" s="52">
        <v>4805</v>
      </c>
      <c r="B135" s="59" t="s">
        <v>288</v>
      </c>
      <c r="D135" s="58">
        <f>'CGN96.001 '!E369</f>
        <v>34166261</v>
      </c>
      <c r="E135" s="58">
        <v>24302795</v>
      </c>
    </row>
    <row r="136" spans="1:5" ht="11.25">
      <c r="A136" s="52">
        <v>4807</v>
      </c>
      <c r="B136" s="59" t="s">
        <v>917</v>
      </c>
      <c r="D136" s="58">
        <v>0</v>
      </c>
      <c r="E136" s="58">
        <v>0</v>
      </c>
    </row>
    <row r="137" spans="1:5" ht="11.25">
      <c r="A137" s="52">
        <v>4810</v>
      </c>
      <c r="B137" s="59" t="s">
        <v>918</v>
      </c>
      <c r="D137" s="58">
        <f>'CGN96.001 '!E378</f>
        <v>3784707</v>
      </c>
      <c r="E137" s="58">
        <v>2897946</v>
      </c>
    </row>
    <row r="138" spans="1:5" ht="11.25">
      <c r="A138" s="52">
        <v>4815</v>
      </c>
      <c r="B138" s="52" t="s">
        <v>919</v>
      </c>
      <c r="D138" s="58">
        <f>'CGN96.001 '!E388</f>
        <v>95169158</v>
      </c>
      <c r="E138" s="58">
        <v>65049580</v>
      </c>
    </row>
    <row r="139" ht="11.25">
      <c r="D139" s="58"/>
    </row>
    <row r="140" spans="2:6" ht="11.25">
      <c r="B140" s="56" t="s">
        <v>920</v>
      </c>
      <c r="D140" s="58"/>
      <c r="F140" s="58"/>
    </row>
    <row r="141" spans="2:6" ht="11.25">
      <c r="B141" s="56" t="s">
        <v>921</v>
      </c>
      <c r="D141" s="58"/>
      <c r="F141" s="58"/>
    </row>
    <row r="142" spans="4:6" ht="11.25">
      <c r="D142" s="58"/>
      <c r="F142" s="58"/>
    </row>
    <row r="143" spans="1:6" ht="11.25">
      <c r="A143" s="52">
        <v>58</v>
      </c>
      <c r="B143" s="56" t="s">
        <v>922</v>
      </c>
      <c r="D143" s="60">
        <f>-SUM(D144:D148)</f>
        <v>-119178943</v>
      </c>
      <c r="E143" s="60">
        <f>-SUM(E145:E148)</f>
        <v>-34006077</v>
      </c>
      <c r="F143" s="58"/>
    </row>
    <row r="144" spans="1:6" ht="11.25">
      <c r="A144" s="52">
        <v>5801</v>
      </c>
      <c r="B144" s="52" t="s">
        <v>954</v>
      </c>
      <c r="D144" s="58">
        <f>'CGN96.001 '!E580</f>
        <v>47194</v>
      </c>
      <c r="E144" s="58">
        <v>2130</v>
      </c>
      <c r="F144" s="58"/>
    </row>
    <row r="145" spans="1:5" ht="11.25">
      <c r="A145" s="52">
        <v>5805</v>
      </c>
      <c r="B145" s="59" t="s">
        <v>288</v>
      </c>
      <c r="D145" s="58">
        <f>'CGN96.001 '!E582</f>
        <v>37838</v>
      </c>
      <c r="E145" s="58">
        <v>2130</v>
      </c>
    </row>
    <row r="146" spans="1:5" ht="11.25">
      <c r="A146" s="52">
        <v>5806</v>
      </c>
      <c r="B146" s="59" t="s">
        <v>923</v>
      </c>
      <c r="D146" s="58">
        <v>0</v>
      </c>
      <c r="E146" s="58">
        <v>0</v>
      </c>
    </row>
    <row r="147" spans="1:5" ht="11.25">
      <c r="A147" s="52">
        <v>5810</v>
      </c>
      <c r="B147" s="59" t="s">
        <v>918</v>
      </c>
      <c r="D147" s="58">
        <f>'CGN96.001 '!E585</f>
        <v>21000</v>
      </c>
      <c r="E147" s="58">
        <v>0</v>
      </c>
    </row>
    <row r="148" spans="1:5" ht="11.25">
      <c r="A148" s="52">
        <v>5815</v>
      </c>
      <c r="B148" s="52" t="s">
        <v>924</v>
      </c>
      <c r="D148" s="58">
        <f>'CGN96.001 '!E587</f>
        <v>119072911</v>
      </c>
      <c r="E148" s="58">
        <v>34003947</v>
      </c>
    </row>
    <row r="149" ht="11.25">
      <c r="D149" s="58"/>
    </row>
    <row r="150" spans="2:6" ht="11.25">
      <c r="B150" s="56" t="s">
        <v>925</v>
      </c>
      <c r="D150" s="60">
        <f>+D132+D134+D140+D143</f>
        <v>-89424635</v>
      </c>
      <c r="E150" s="60">
        <f>+E132+E134+E140+E143</f>
        <v>-294916872</v>
      </c>
      <c r="F150" s="58"/>
    </row>
    <row r="151" spans="4:7" ht="11.25">
      <c r="D151" s="58"/>
      <c r="G151" s="68"/>
    </row>
    <row r="152" spans="2:7" ht="11.25">
      <c r="B152" s="56" t="s">
        <v>926</v>
      </c>
      <c r="D152" s="60">
        <f>D153</f>
        <v>0</v>
      </c>
      <c r="E152" s="60">
        <f>E153</f>
        <v>0</v>
      </c>
      <c r="G152" s="68"/>
    </row>
    <row r="153" spans="1:7" ht="11.25">
      <c r="A153" s="52">
        <v>4905</v>
      </c>
      <c r="B153" s="52" t="s">
        <v>927</v>
      </c>
      <c r="D153" s="58">
        <v>0</v>
      </c>
      <c r="E153" s="58">
        <v>0</v>
      </c>
      <c r="G153" s="69"/>
    </row>
    <row r="154" ht="11.25">
      <c r="D154" s="58"/>
    </row>
    <row r="155" spans="2:4" ht="11.25">
      <c r="B155" s="56" t="s">
        <v>928</v>
      </c>
      <c r="D155" s="58"/>
    </row>
    <row r="156" spans="2:4" ht="11.25">
      <c r="B156" s="56" t="s">
        <v>929</v>
      </c>
      <c r="D156" s="58"/>
    </row>
    <row r="157" ht="11.25">
      <c r="D157" s="58"/>
    </row>
    <row r="158" spans="2:7" ht="11.25">
      <c r="B158" s="56" t="s">
        <v>930</v>
      </c>
      <c r="D158" s="57">
        <f>+D132+D134+D143</f>
        <v>-89424635</v>
      </c>
      <c r="E158" s="57">
        <f>+E132+E134+E143</f>
        <v>-294916872</v>
      </c>
      <c r="F158" s="58"/>
      <c r="G158" s="58"/>
    </row>
    <row r="159" spans="2:5" ht="12.75">
      <c r="B159" s="56"/>
      <c r="D159" s="62"/>
      <c r="E159" s="62"/>
    </row>
    <row r="160" ht="11.25">
      <c r="D160" s="58"/>
    </row>
    <row r="161" ht="11.25">
      <c r="D161" s="58"/>
    </row>
    <row r="162" ht="11.25">
      <c r="D162" s="58"/>
    </row>
    <row r="163" ht="11.25">
      <c r="D163" s="58"/>
    </row>
    <row r="164" spans="3:4" ht="12.75" customHeight="1">
      <c r="C164" s="58"/>
      <c r="D164" s="58"/>
    </row>
    <row r="165" spans="2:5" ht="11.25">
      <c r="B165" s="56" t="s">
        <v>526</v>
      </c>
      <c r="C165" s="56" t="s">
        <v>2</v>
      </c>
      <c r="D165" s="91" t="s">
        <v>931</v>
      </c>
      <c r="E165" s="91"/>
    </row>
    <row r="166" spans="2:5" ht="11.25">
      <c r="B166" s="52" t="s">
        <v>932</v>
      </c>
      <c r="C166" s="52" t="s">
        <v>933</v>
      </c>
      <c r="D166" s="52" t="s">
        <v>934</v>
      </c>
      <c r="E166" s="52" t="s">
        <v>2</v>
      </c>
    </row>
    <row r="167" spans="3:5" ht="11.25">
      <c r="C167" s="52" t="s">
        <v>2</v>
      </c>
      <c r="D167" s="52" t="s">
        <v>2</v>
      </c>
      <c r="E167" s="52" t="s">
        <v>2</v>
      </c>
    </row>
    <row r="168" ht="11.25">
      <c r="D168" s="58"/>
    </row>
    <row r="169" spans="2:4" ht="11.25">
      <c r="B169" s="56" t="s">
        <v>2</v>
      </c>
      <c r="D169" s="58"/>
    </row>
    <row r="170" spans="2:4" ht="11.25">
      <c r="B170" s="52" t="s">
        <v>2</v>
      </c>
      <c r="D170" s="58"/>
    </row>
    <row r="171" spans="2:4" ht="11.25">
      <c r="B171" s="26" t="s">
        <v>574</v>
      </c>
      <c r="C171" s="58"/>
      <c r="D171" s="58"/>
    </row>
    <row r="172" spans="2:4" ht="11.25">
      <c r="B172" s="10" t="s">
        <v>542</v>
      </c>
      <c r="C172" s="58"/>
      <c r="D172" s="58"/>
    </row>
    <row r="173" spans="2:4" ht="12" customHeight="1">
      <c r="B173" s="10" t="s">
        <v>573</v>
      </c>
      <c r="C173" s="58"/>
      <c r="D173" s="58"/>
    </row>
  </sheetData>
  <mergeCells count="6">
    <mergeCell ref="A5:E5"/>
    <mergeCell ref="D165:E165"/>
    <mergeCell ref="A1:E1"/>
    <mergeCell ref="A2:E2"/>
    <mergeCell ref="A3:E3"/>
    <mergeCell ref="A4:E4"/>
  </mergeCells>
  <printOptions/>
  <pageMargins left="0.75" right="0.75" top="0.44" bottom="0.33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34">
      <selection activeCell="D40" sqref="D40"/>
    </sheetView>
  </sheetViews>
  <sheetFormatPr defaultColWidth="11.421875" defaultRowHeight="12.75"/>
  <cols>
    <col min="1" max="1" width="8.7109375" style="52" customWidth="1"/>
    <col min="2" max="2" width="31.00390625" style="52" customWidth="1"/>
    <col min="3" max="4" width="14.140625" style="52" customWidth="1"/>
    <col min="5" max="5" width="12.140625" style="58" customWidth="1"/>
    <col min="6" max="6" width="8.7109375" style="52" customWidth="1"/>
    <col min="7" max="7" width="30.7109375" style="52" customWidth="1"/>
    <col min="8" max="16384" width="11.421875" style="52" customWidth="1"/>
  </cols>
  <sheetData>
    <row r="1" spans="1:9" ht="11.25">
      <c r="A1" s="90" t="s">
        <v>7</v>
      </c>
      <c r="B1" s="90"/>
      <c r="C1" s="90"/>
      <c r="D1" s="90"/>
      <c r="E1" s="90"/>
      <c r="F1" s="54"/>
      <c r="G1" s="54"/>
      <c r="H1" s="54"/>
      <c r="I1" s="54"/>
    </row>
    <row r="2" spans="1:5" ht="11.25">
      <c r="A2" s="90" t="s">
        <v>834</v>
      </c>
      <c r="B2" s="90"/>
      <c r="C2" s="90"/>
      <c r="D2" s="90"/>
      <c r="E2" s="90"/>
    </row>
    <row r="3" spans="1:5" ht="11.25">
      <c r="A3" s="90" t="str">
        <f>+'[3]G Y P POR GRUPO'!A3:E3</f>
        <v>A DICIEMBRE 31 DE 2004</v>
      </c>
      <c r="B3" s="90"/>
      <c r="C3" s="90"/>
      <c r="D3" s="90"/>
      <c r="E3" s="90"/>
    </row>
    <row r="4" spans="1:5" ht="11.25">
      <c r="A4" s="90" t="s">
        <v>625</v>
      </c>
      <c r="B4" s="90"/>
      <c r="C4" s="90"/>
      <c r="D4" s="90"/>
      <c r="E4" s="90"/>
    </row>
    <row r="5" spans="1:5" ht="11.25">
      <c r="A5" s="90" t="str">
        <f>+'[3]G Y P POR GRUPO'!A5:E5</f>
        <v>CONSOLIDADO</v>
      </c>
      <c r="B5" s="90"/>
      <c r="C5" s="90"/>
      <c r="D5" s="90"/>
      <c r="E5" s="90"/>
    </row>
    <row r="6" spans="1:5" ht="12.75" customHeight="1">
      <c r="A6" s="53"/>
      <c r="B6" s="53"/>
      <c r="C6" s="53"/>
      <c r="D6" s="63" t="s">
        <v>836</v>
      </c>
      <c r="E6" s="63" t="s">
        <v>837</v>
      </c>
    </row>
    <row r="7" spans="1:5" ht="11.25">
      <c r="A7" s="53"/>
      <c r="B7" s="53"/>
      <c r="C7" s="53"/>
      <c r="D7" s="64" t="s">
        <v>626</v>
      </c>
      <c r="E7" s="64" t="s">
        <v>626</v>
      </c>
    </row>
    <row r="8" spans="1:5" ht="11.25">
      <c r="A8" s="65" t="s">
        <v>627</v>
      </c>
      <c r="B8" s="65" t="s">
        <v>838</v>
      </c>
      <c r="C8" s="53"/>
      <c r="D8" s="64" t="s">
        <v>628</v>
      </c>
      <c r="E8" s="64" t="s">
        <v>628</v>
      </c>
    </row>
    <row r="9" spans="1:5" ht="11.25">
      <c r="A9" s="53"/>
      <c r="B9" s="53"/>
      <c r="C9" s="53"/>
      <c r="D9" s="64" t="s">
        <v>629</v>
      </c>
      <c r="E9" s="64" t="s">
        <v>629</v>
      </c>
    </row>
    <row r="10" spans="1:5" ht="11.25">
      <c r="A10" s="54"/>
      <c r="B10" s="54"/>
      <c r="C10" s="54"/>
      <c r="D10" s="55"/>
      <c r="E10" s="55"/>
    </row>
    <row r="11" spans="1:9" ht="11.25">
      <c r="A11" s="54"/>
      <c r="B11" s="54"/>
      <c r="C11" s="54"/>
      <c r="D11" s="55"/>
      <c r="E11" s="55"/>
      <c r="F11" s="54"/>
      <c r="G11" s="54"/>
      <c r="H11" s="54"/>
      <c r="I11" s="54"/>
    </row>
    <row r="12" spans="2:5" ht="11.25">
      <c r="B12" s="56" t="s">
        <v>839</v>
      </c>
      <c r="D12" s="60">
        <f>SUM(D13:D17)</f>
        <v>10532375632</v>
      </c>
      <c r="E12" s="60">
        <f>SUM(E13:E17)</f>
        <v>9330178896</v>
      </c>
    </row>
    <row r="13" spans="1:5" ht="11.25">
      <c r="A13" s="52">
        <v>41</v>
      </c>
      <c r="B13" s="52" t="s">
        <v>840</v>
      </c>
      <c r="D13" s="58">
        <f>'CGN96.001 '!E327</f>
        <v>108268763</v>
      </c>
      <c r="E13" s="58">
        <f>+'[3]G Y P POR GRUPO'!E12</f>
        <v>111078920</v>
      </c>
    </row>
    <row r="14" spans="1:5" ht="11.25">
      <c r="A14" s="52">
        <v>42</v>
      </c>
      <c r="B14" s="52" t="s">
        <v>845</v>
      </c>
      <c r="D14" s="58">
        <f>'[3]G Y P POR GRUPO'!D19</f>
        <v>0</v>
      </c>
      <c r="E14" s="58">
        <f>'[3]G Y P POR GRUPO'!E19</f>
        <v>0</v>
      </c>
    </row>
    <row r="15" spans="1:5" ht="11.25">
      <c r="A15" s="52">
        <v>43</v>
      </c>
      <c r="B15" s="52" t="s">
        <v>849</v>
      </c>
      <c r="D15" s="58">
        <f>'CGN96.001 '!E342</f>
        <v>3093569</v>
      </c>
      <c r="E15" s="58">
        <f>'[3]G Y P POR GRUPO'!E24</f>
        <v>0</v>
      </c>
    </row>
    <row r="16" spans="1:5" ht="11.25">
      <c r="A16" s="52">
        <v>44</v>
      </c>
      <c r="B16" s="52" t="s">
        <v>662</v>
      </c>
      <c r="D16" s="58">
        <f>'CGN96.001 '!E348</f>
        <v>1610785</v>
      </c>
      <c r="E16" s="58">
        <f>'[3]G Y P POR GRUPO'!E43</f>
        <v>0</v>
      </c>
    </row>
    <row r="17" spans="1:5" ht="11.25">
      <c r="A17" s="52">
        <v>47</v>
      </c>
      <c r="B17" s="52" t="s">
        <v>875</v>
      </c>
      <c r="D17" s="58">
        <f>'CGN96.001 '!E351</f>
        <v>10419402515</v>
      </c>
      <c r="E17" s="58">
        <f>'[3]G Y P POR GRUPO'!E53</f>
        <v>9219099976</v>
      </c>
    </row>
    <row r="18" ht="11.25">
      <c r="D18" s="58"/>
    </row>
    <row r="19" spans="1:5" ht="12.75">
      <c r="A19"/>
      <c r="B19" s="56" t="s">
        <v>881</v>
      </c>
      <c r="D19" s="60">
        <f>D20</f>
        <v>0</v>
      </c>
      <c r="E19" s="60">
        <f>E20</f>
        <v>0</v>
      </c>
    </row>
    <row r="20" spans="1:5" ht="11.25">
      <c r="A20" s="52">
        <v>61</v>
      </c>
      <c r="B20" s="52" t="s">
        <v>882</v>
      </c>
      <c r="D20" s="58">
        <f>'[3]G Y P POR GRUPO'!D61</f>
        <v>0</v>
      </c>
      <c r="E20" s="58">
        <f>'[3]G Y P POR GRUPO'!E61</f>
        <v>0</v>
      </c>
    </row>
    <row r="21" ht="11.25">
      <c r="D21" s="58"/>
    </row>
    <row r="22" spans="2:5" ht="11.25">
      <c r="B22" s="56" t="s">
        <v>883</v>
      </c>
      <c r="D22" s="60">
        <f>-SUM(D23:D29)</f>
        <v>-10635741450</v>
      </c>
      <c r="E22" s="60">
        <f>-SUM(E23:E29)</f>
        <v>-9683340012</v>
      </c>
    </row>
    <row r="23" spans="1:5" ht="11.25">
      <c r="A23" s="52">
        <v>51</v>
      </c>
      <c r="B23" s="52" t="s">
        <v>884</v>
      </c>
      <c r="D23" s="58">
        <f>'CGN96.001 '!E397</f>
        <v>79191539</v>
      </c>
      <c r="E23" s="58">
        <f>'[3]G Y P POR GRUPO'!E83</f>
        <v>17593429</v>
      </c>
    </row>
    <row r="24" spans="1:5" ht="11.25">
      <c r="A24" s="52">
        <v>52</v>
      </c>
      <c r="B24" s="52" t="s">
        <v>891</v>
      </c>
      <c r="D24" s="58">
        <f>'[3]G Y P POR GRUPO'!D91</f>
        <v>0</v>
      </c>
      <c r="E24" s="58">
        <f>'[3]G Y P POR GRUPO'!E91</f>
        <v>0</v>
      </c>
    </row>
    <row r="25" spans="1:5" ht="11.25">
      <c r="A25" s="52">
        <v>53</v>
      </c>
      <c r="B25" s="52" t="s">
        <v>935</v>
      </c>
      <c r="D25" s="58">
        <f>'CGN96.001 '!E484</f>
        <v>1492544</v>
      </c>
      <c r="E25" s="58">
        <f>'[3]G Y P POR GRUPO'!E95</f>
        <v>20708645</v>
      </c>
    </row>
    <row r="26" spans="1:5" ht="11.25">
      <c r="A26" s="52">
        <v>54</v>
      </c>
      <c r="B26" s="52" t="s">
        <v>662</v>
      </c>
      <c r="D26" s="58">
        <f>'CGN96.001 '!E508</f>
        <v>10503081833</v>
      </c>
      <c r="E26" s="58">
        <f>'[3]G Y P POR GRUPO'!E103</f>
        <v>9564096180</v>
      </c>
    </row>
    <row r="27" spans="1:5" ht="11.25">
      <c r="A27" s="52">
        <v>55</v>
      </c>
      <c r="B27" s="52" t="s">
        <v>908</v>
      </c>
      <c r="D27" s="58">
        <f>'CGN96.001 '!E555</f>
        <v>21324541</v>
      </c>
      <c r="E27" s="58">
        <f>+'[3]G Y P POR GRUPO'!E117</f>
        <v>63101536</v>
      </c>
    </row>
    <row r="28" spans="1:5" ht="11.25">
      <c r="A28" s="52">
        <v>56</v>
      </c>
      <c r="B28" s="52" t="s">
        <v>936</v>
      </c>
      <c r="D28" s="58">
        <f>+'[3]G Y P POR GRUPO'!D121</f>
        <v>0</v>
      </c>
      <c r="E28" s="58">
        <f>+'[3]G Y P POR GRUPO'!E121</f>
        <v>522144</v>
      </c>
    </row>
    <row r="29" spans="1:5" ht="11.25">
      <c r="A29" s="52">
        <v>57</v>
      </c>
      <c r="B29" s="52" t="s">
        <v>911</v>
      </c>
      <c r="D29" s="58">
        <f>'CGN96.001 '!E565</f>
        <v>30650993</v>
      </c>
      <c r="E29" s="58">
        <f>+'[3]G Y P POR GRUPO'!E125</f>
        <v>17318078</v>
      </c>
    </row>
    <row r="30" ht="11.25">
      <c r="D30" s="58"/>
    </row>
    <row r="31" spans="2:5" ht="11.25">
      <c r="B31" s="56" t="s">
        <v>915</v>
      </c>
      <c r="D31" s="60">
        <f>D12+D19+D22</f>
        <v>-103365818</v>
      </c>
      <c r="E31" s="60">
        <f>E12+E19+E22</f>
        <v>-353161116</v>
      </c>
    </row>
    <row r="32" ht="11.25">
      <c r="D32" s="58"/>
    </row>
    <row r="33" spans="2:5" ht="11.25">
      <c r="B33" s="56" t="s">
        <v>916</v>
      </c>
      <c r="D33" s="60">
        <f>D34</f>
        <v>133120126</v>
      </c>
      <c r="E33" s="60">
        <f>E34</f>
        <v>92250321</v>
      </c>
    </row>
    <row r="34" spans="1:5" ht="11.25">
      <c r="A34" s="52">
        <v>48</v>
      </c>
      <c r="B34" s="52" t="s">
        <v>937</v>
      </c>
      <c r="D34" s="67">
        <f>'CGN96.001 '!E368</f>
        <v>133120126</v>
      </c>
      <c r="E34" s="67">
        <f>+'[3]G Y P POR GRUPO'!E133</f>
        <v>92250321</v>
      </c>
    </row>
    <row r="35" ht="11.25">
      <c r="D35" s="58"/>
    </row>
    <row r="36" spans="2:4" ht="11.25">
      <c r="B36" s="56" t="s">
        <v>920</v>
      </c>
      <c r="D36" s="58"/>
    </row>
    <row r="37" spans="2:5" ht="11.25">
      <c r="B37" s="56" t="s">
        <v>921</v>
      </c>
      <c r="D37" s="57">
        <f>'[3]G Y P POR GRUPO'!D140</f>
        <v>0</v>
      </c>
      <c r="E37" s="57">
        <f>'[3]G Y P POR GRUPO'!E140</f>
        <v>0</v>
      </c>
    </row>
    <row r="38" ht="11.25">
      <c r="D38" s="58"/>
    </row>
    <row r="39" spans="2:5" ht="11.25">
      <c r="B39" s="56" t="s">
        <v>922</v>
      </c>
      <c r="D39" s="60">
        <f>-D40</f>
        <v>-119178943</v>
      </c>
      <c r="E39" s="60">
        <f>E40</f>
        <v>-34006077</v>
      </c>
    </row>
    <row r="40" spans="1:5" ht="11.25">
      <c r="A40" s="52">
        <v>58</v>
      </c>
      <c r="B40" s="52" t="s">
        <v>938</v>
      </c>
      <c r="D40" s="58">
        <f>'CGN96.001 '!E579</f>
        <v>119178943</v>
      </c>
      <c r="E40" s="58">
        <f>+'[3]G Y P POR GRUPO'!E142</f>
        <v>-34006077</v>
      </c>
    </row>
    <row r="41" ht="11.25">
      <c r="D41" s="58"/>
    </row>
    <row r="42" spans="2:5" ht="11.25">
      <c r="B42" s="56" t="s">
        <v>925</v>
      </c>
      <c r="D42" s="60">
        <f>D31+D33+D37+D39</f>
        <v>-89424635</v>
      </c>
      <c r="E42" s="60">
        <f>E31+E33+E37+E39</f>
        <v>-294916872</v>
      </c>
    </row>
    <row r="43" ht="11.25">
      <c r="D43" s="58"/>
    </row>
    <row r="44" spans="2:5" ht="11.25">
      <c r="B44" s="56" t="s">
        <v>926</v>
      </c>
      <c r="D44" s="60">
        <f>D45</f>
        <v>0</v>
      </c>
      <c r="E44" s="60">
        <f>E45</f>
        <v>0</v>
      </c>
    </row>
    <row r="45" spans="1:5" ht="11.25">
      <c r="A45" s="52">
        <v>49</v>
      </c>
      <c r="B45" s="52" t="s">
        <v>927</v>
      </c>
      <c r="D45" s="58">
        <f>'[3]G Y P POR GRUPO'!D150</f>
        <v>0</v>
      </c>
      <c r="E45" s="58">
        <f>'[3]G Y P POR GRUPO'!E150</f>
        <v>0</v>
      </c>
    </row>
    <row r="46" ht="11.25">
      <c r="D46" s="58"/>
    </row>
    <row r="47" spans="2:4" ht="11.25">
      <c r="B47" s="56" t="s">
        <v>928</v>
      </c>
      <c r="D47" s="58"/>
    </row>
    <row r="48" spans="2:5" ht="11.25">
      <c r="B48" s="56" t="s">
        <v>929</v>
      </c>
      <c r="D48" s="57">
        <f>'[3]G Y P POR GRUPO'!D154</f>
        <v>0</v>
      </c>
      <c r="E48" s="57">
        <f>'[3]G Y P POR GRUPO'!E154</f>
        <v>0</v>
      </c>
    </row>
    <row r="49" ht="11.25">
      <c r="D49" s="58"/>
    </row>
    <row r="50" ht="11.25">
      <c r="D50" s="58"/>
    </row>
    <row r="51" spans="2:5" ht="11.25">
      <c r="B51" s="56" t="s">
        <v>939</v>
      </c>
      <c r="D51" s="60">
        <f>D42+D44+D48</f>
        <v>-89424635</v>
      </c>
      <c r="E51" s="60">
        <f>E42+E44+E48</f>
        <v>-294916872</v>
      </c>
    </row>
    <row r="52" ht="11.25">
      <c r="D52" s="58"/>
    </row>
    <row r="53" ht="11.25">
      <c r="E53" s="52"/>
    </row>
    <row r="54" ht="11.25">
      <c r="E54" s="52"/>
    </row>
    <row r="55" ht="11.25">
      <c r="E55" s="52"/>
    </row>
    <row r="56" ht="11.25">
      <c r="E56" s="52"/>
    </row>
    <row r="58" spans="3:4" ht="11.25">
      <c r="C58" s="58"/>
      <c r="D58" s="58"/>
    </row>
    <row r="59" spans="2:5" ht="11.25">
      <c r="B59" s="56" t="s">
        <v>526</v>
      </c>
      <c r="C59" s="56" t="s">
        <v>2</v>
      </c>
      <c r="D59" s="92" t="s">
        <v>931</v>
      </c>
      <c r="E59" s="92"/>
    </row>
    <row r="60" spans="2:5" ht="11.25">
      <c r="B60" s="52" t="s">
        <v>932</v>
      </c>
      <c r="C60" s="52" t="s">
        <v>933</v>
      </c>
      <c r="D60" s="93" t="s">
        <v>934</v>
      </c>
      <c r="E60" s="93"/>
    </row>
    <row r="61" spans="3:5" ht="11.25">
      <c r="C61" s="52" t="s">
        <v>2</v>
      </c>
      <c r="D61" s="52" t="s">
        <v>2</v>
      </c>
      <c r="E61" s="52" t="s">
        <v>2</v>
      </c>
    </row>
    <row r="62" ht="11.25">
      <c r="D62" s="58"/>
    </row>
    <row r="63" spans="2:4" ht="11.25">
      <c r="B63" s="56" t="s">
        <v>2</v>
      </c>
      <c r="D63" s="58"/>
    </row>
    <row r="64" spans="2:4" ht="11.25">
      <c r="B64" s="52" t="s">
        <v>2</v>
      </c>
      <c r="D64" s="58"/>
    </row>
    <row r="65" spans="2:4" ht="11.25">
      <c r="B65" s="26" t="s">
        <v>574</v>
      </c>
      <c r="C65" s="58"/>
      <c r="D65" s="58"/>
    </row>
    <row r="66" spans="2:4" ht="11.25">
      <c r="B66" s="10" t="s">
        <v>542</v>
      </c>
      <c r="C66" s="58"/>
      <c r="D66" s="58"/>
    </row>
    <row r="67" spans="2:4" ht="11.25">
      <c r="B67" s="10" t="s">
        <v>573</v>
      </c>
      <c r="C67" s="58"/>
      <c r="D67" s="58"/>
    </row>
  </sheetData>
  <mergeCells count="7">
    <mergeCell ref="A5:E5"/>
    <mergeCell ref="D59:E59"/>
    <mergeCell ref="D60:E60"/>
    <mergeCell ref="A1:E1"/>
    <mergeCell ref="A2:E2"/>
    <mergeCell ref="A3:E3"/>
    <mergeCell ref="A4:E4"/>
  </mergeCells>
  <printOptions/>
  <pageMargins left="0.27" right="0.25" top="0.34" bottom="0.3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A1" sqref="A1:IV16384"/>
    </sheetView>
  </sheetViews>
  <sheetFormatPr defaultColWidth="11.421875" defaultRowHeight="12.75"/>
  <cols>
    <col min="1" max="1" width="49.7109375" style="0" customWidth="1"/>
    <col min="2" max="2" width="18.28125" style="0" bestFit="1" customWidth="1"/>
    <col min="3" max="3" width="17.57421875" style="0" customWidth="1"/>
  </cols>
  <sheetData>
    <row r="1" ht="12.75">
      <c r="B1" s="70"/>
    </row>
    <row r="2" ht="12.75">
      <c r="B2" s="70"/>
    </row>
    <row r="3" spans="1:3" ht="12.75">
      <c r="A3" s="94" t="s">
        <v>7</v>
      </c>
      <c r="B3" s="94"/>
      <c r="C3" s="94"/>
    </row>
    <row r="4" spans="1:3" ht="12.75">
      <c r="A4" s="94" t="s">
        <v>940</v>
      </c>
      <c r="B4" s="94"/>
      <c r="C4" s="94"/>
    </row>
    <row r="5" spans="1:3" ht="12.75">
      <c r="A5" s="94" t="s">
        <v>835</v>
      </c>
      <c r="B5" s="94"/>
      <c r="C5" s="94"/>
    </row>
    <row r="6" spans="1:3" ht="12.75">
      <c r="A6" s="94" t="s">
        <v>625</v>
      </c>
      <c r="B6" s="94"/>
      <c r="C6" s="94"/>
    </row>
    <row r="7" spans="1:3" ht="12.75">
      <c r="A7" s="94" t="s">
        <v>575</v>
      </c>
      <c r="B7" s="94"/>
      <c r="C7" s="94"/>
    </row>
    <row r="8" spans="1:3" ht="12.75">
      <c r="A8" s="51"/>
      <c r="B8" s="51"/>
      <c r="C8" s="51"/>
    </row>
    <row r="9" spans="1:3" ht="12.75">
      <c r="A9" s="51"/>
      <c r="B9" s="51"/>
      <c r="C9" s="51"/>
    </row>
    <row r="10" ht="12.75">
      <c r="B10" s="70"/>
    </row>
    <row r="11" spans="1:2" ht="12.75">
      <c r="A11" t="s">
        <v>941</v>
      </c>
      <c r="B11" s="72">
        <f>'BLCE.GRAL.GRUPO'!H34</f>
        <v>-290660263</v>
      </c>
    </row>
    <row r="12" ht="12.75">
      <c r="B12" s="70"/>
    </row>
    <row r="13" spans="1:2" ht="12.75">
      <c r="A13" t="s">
        <v>942</v>
      </c>
      <c r="B13" s="70">
        <f>+B15-B11</f>
        <v>-68705984</v>
      </c>
    </row>
    <row r="14" ht="12.75">
      <c r="B14" s="70" t="s">
        <v>2</v>
      </c>
    </row>
    <row r="15" spans="1:2" ht="12.75">
      <c r="A15" t="s">
        <v>943</v>
      </c>
      <c r="B15" s="72">
        <f>'BLCE.GRAL.GRUPO'!G34</f>
        <v>-359366247</v>
      </c>
    </row>
    <row r="16" ht="12.75">
      <c r="B16" s="70" t="s">
        <v>944</v>
      </c>
    </row>
    <row r="17" ht="12.75">
      <c r="B17" s="70"/>
    </row>
    <row r="18" spans="1:3" ht="12.75">
      <c r="A18" s="73" t="s">
        <v>945</v>
      </c>
      <c r="B18" s="73"/>
      <c r="C18" s="73"/>
    </row>
    <row r="19" spans="1:3" ht="12.75">
      <c r="A19" s="71"/>
      <c r="B19" s="71"/>
      <c r="C19" s="71"/>
    </row>
    <row r="20" ht="12.75">
      <c r="B20" s="70"/>
    </row>
    <row r="21" spans="1:3" ht="12.75">
      <c r="A21" t="s">
        <v>946</v>
      </c>
      <c r="B21" s="74">
        <f>+B13</f>
        <v>-68705984</v>
      </c>
      <c r="C21" s="74"/>
    </row>
    <row r="22" ht="12.75">
      <c r="B22" s="70"/>
    </row>
    <row r="23" ht="12.75">
      <c r="B23" s="70"/>
    </row>
    <row r="24" spans="1:2" ht="12.75">
      <c r="A24" t="s">
        <v>947</v>
      </c>
      <c r="B24" s="74">
        <v>0</v>
      </c>
    </row>
    <row r="25" ht="12.75">
      <c r="A25" t="s">
        <v>2</v>
      </c>
    </row>
    <row r="27" spans="1:2" ht="12.75">
      <c r="A27" t="s">
        <v>948</v>
      </c>
      <c r="B27" s="74">
        <v>0</v>
      </c>
    </row>
    <row r="29" ht="12.75">
      <c r="B29" s="70"/>
    </row>
    <row r="30" ht="12.75">
      <c r="B30" s="70"/>
    </row>
    <row r="31" ht="12.75">
      <c r="B31" s="70"/>
    </row>
    <row r="32" ht="12.75">
      <c r="B32" s="70"/>
    </row>
    <row r="33" ht="12.75">
      <c r="B33" s="70"/>
    </row>
    <row r="34" ht="12.75">
      <c r="B34" s="70"/>
    </row>
    <row r="35" spans="1:3" ht="12.75">
      <c r="A35" s="52"/>
      <c r="B35" s="70"/>
      <c r="C35" s="75"/>
    </row>
    <row r="36" spans="1:3" ht="12.75">
      <c r="A36" s="52"/>
      <c r="B36" s="52"/>
      <c r="C36" s="58"/>
    </row>
    <row r="37" spans="1:3" ht="12.75">
      <c r="A37" s="56" t="s">
        <v>526</v>
      </c>
      <c r="B37" s="56" t="s">
        <v>527</v>
      </c>
      <c r="C37" s="56"/>
    </row>
    <row r="38" spans="1:3" ht="12.75">
      <c r="A38" s="52" t="s">
        <v>949</v>
      </c>
      <c r="B38" s="70" t="s">
        <v>950</v>
      </c>
      <c r="C38" s="70"/>
    </row>
    <row r="39" spans="1:3" ht="12.75">
      <c r="A39" s="52"/>
      <c r="B39" s="52"/>
      <c r="C39" s="52" t="s">
        <v>2</v>
      </c>
    </row>
    <row r="40" spans="1:3" ht="12.75">
      <c r="A40" s="52"/>
      <c r="B40" s="52"/>
      <c r="C40" s="52"/>
    </row>
    <row r="41" spans="1:3" ht="12.75">
      <c r="A41" s="52"/>
      <c r="B41" s="56" t="s">
        <v>2</v>
      </c>
      <c r="C41" s="52"/>
    </row>
    <row r="42" spans="1:3" ht="12.75">
      <c r="A42" s="52"/>
      <c r="B42" s="52" t="s">
        <v>2</v>
      </c>
      <c r="C42" s="52"/>
    </row>
    <row r="43" spans="1:3" ht="12.75">
      <c r="A43" s="26" t="s">
        <v>574</v>
      </c>
      <c r="B43" s="58"/>
      <c r="C43" s="52"/>
    </row>
    <row r="44" spans="1:3" ht="12.75">
      <c r="A44" s="10" t="s">
        <v>542</v>
      </c>
      <c r="B44" s="58"/>
      <c r="C44" s="52"/>
    </row>
    <row r="45" spans="1:3" ht="12.75">
      <c r="A45" s="10" t="s">
        <v>573</v>
      </c>
      <c r="B45" s="58"/>
      <c r="C45" s="52"/>
    </row>
    <row r="46" spans="1:3" ht="12.75">
      <c r="A46" s="52"/>
      <c r="B46" s="61" t="s">
        <v>2</v>
      </c>
      <c r="C46" s="52"/>
    </row>
    <row r="47" spans="1:3" ht="12.75">
      <c r="A47" s="52"/>
      <c r="B47" s="52" t="s">
        <v>2</v>
      </c>
      <c r="C47" s="52"/>
    </row>
  </sheetData>
  <mergeCells count="5">
    <mergeCell ref="A7:C7"/>
    <mergeCell ref="A3:C3"/>
    <mergeCell ref="A4:C4"/>
    <mergeCell ref="A5:C5"/>
    <mergeCell ref="A6:C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mcamelo</cp:lastModifiedBy>
  <cp:lastPrinted>2005-04-11T23:14:26Z</cp:lastPrinted>
  <dcterms:created xsi:type="dcterms:W3CDTF">1998-02-17T15:58:39Z</dcterms:created>
  <dcterms:modified xsi:type="dcterms:W3CDTF">2005-04-12T00:11:34Z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-1599821361</vt:i4>
  </property>
  <property fmtid="{D5CDD505-2E9C-101B-9397-08002B2CF9AE}" pid="3" name="_EmailSubject">
    <vt:lpwstr>Informes financieros 2004</vt:lpwstr>
  </property>
  <property fmtid="{D5CDD505-2E9C-101B-9397-08002B2CF9AE}" pid="4" name="_AuthorEmail">
    <vt:lpwstr>MCamelo@mineducacion.gov.co</vt:lpwstr>
  </property>
  <property fmtid="{D5CDD505-2E9C-101B-9397-08002B2CF9AE}" pid="5" name="_AuthorEmailDisplayName">
    <vt:lpwstr>Mirella Sandra Camelo Quinmbayo</vt:lpwstr>
  </property>
  <property fmtid="{D5CDD505-2E9C-101B-9397-08002B2CF9AE}" pid="6" name="_PreviousAdHocReviewCycleID">
    <vt:i4>1009838300</vt:i4>
  </property>
</Properties>
</file>