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95" windowHeight="7710" tabRatio="858" activeTab="0"/>
  </bookViews>
  <sheets>
    <sheet name="Otras Transf_Universidades" sheetId="1" r:id="rId1"/>
    <sheet name="Hoja3" sheetId="2" r:id="rId2"/>
    <sheet name="Hoja4" sheetId="3" r:id="rId3"/>
  </sheets>
  <definedNames>
    <definedName name="_xlnm._FilterDatabase" localSheetId="0" hidden="1">'Otras Transf_Universidades'!$BQ$3:$BU$55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S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sharedStrings.xml><?xml version="1.0" encoding="utf-8"?>
<sst xmlns="http://schemas.openxmlformats.org/spreadsheetml/2006/main" count="326" uniqueCount="192">
  <si>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</si>
  <si>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</si>
  <si>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</si>
  <si>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</si>
  <si>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</si>
  <si>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</si>
  <si>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</si>
  <si>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</si>
  <si>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</si>
  <si>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</si>
  <si>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</si>
  <si>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</si>
  <si>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</si>
  <si>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</si>
  <si>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</si>
  <si>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</si>
  <si>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</si>
  <si>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</si>
  <si>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</si>
  <si>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</si>
  <si>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</si>
  <si>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</si>
  <si>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</si>
  <si>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</si>
  <si>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</si>
  <si>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</si>
  <si>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</si>
  <si>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</si>
  <si>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</si>
  <si>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</si>
  <si>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</si>
  <si>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</si>
  <si>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</si>
  <si>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</si>
  <si>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</si>
  <si>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</si>
  <si>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</si>
  <si>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</si>
  <si>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</si>
  <si>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</si>
  <si>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</si>
  <si>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</si>
  <si>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</si>
  <si>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</si>
  <si>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</si>
  <si>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</si>
  <si>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</si>
  <si>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</si>
  <si>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</si>
  <si>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</si>
  <si>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</si>
  <si>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</si>
  <si>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</si>
  <si>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</si>
  <si>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</si>
  <si>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</si>
  <si>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</si>
  <si>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</si>
  <si>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</si>
  <si>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</si>
  <si>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</si>
  <si>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</si>
  <si>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</si>
  <si>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</si>
  <si>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</si>
  <si>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</si>
  <si>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</si>
  <si>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</si>
  <si>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</si>
  <si>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</si>
  <si>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</si>
  <si>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</si>
  <si>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</si>
  <si>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</si>
  <si>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</si>
  <si>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</si>
  <si>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</si>
  <si>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</si>
  <si>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</si>
  <si>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</si>
  <si>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</si>
  <si>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</si>
  <si>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</si>
  <si>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</si>
  <si>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</si>
  <si>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</si>
  <si>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</si>
  <si>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</si>
  <si>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</si>
  <si>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</si>
  <si>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</si>
  <si>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</si>
  <si>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</si>
  <si>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</si>
  <si>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</si>
  <si>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</si>
  <si>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</si>
  <si>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</si>
  <si>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jmlopez@ut.edu.co</t>
  </si>
  <si>
    <t>finanzas@intep.edu.co   contabilidad@intep.edu.co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</si>
  <si>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</si>
  <si>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</si>
  <si>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</si>
  <si>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</si>
  <si>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</si>
  <si>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</si>
  <si>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</si>
  <si>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</si>
  <si>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</si>
  <si>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</si>
  <si>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</si>
  <si>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</si>
  <si>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</si>
  <si>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</si>
  <si>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</si>
  <si>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</si>
  <si>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</si>
  <si>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</si>
  <si>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</si>
  <si>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</si>
  <si>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</si>
  <si>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</si>
  <si>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</si>
  <si>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</si>
  <si>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</si>
  <si>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</si>
  <si>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</si>
  <si>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</si>
  <si>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</si>
  <si>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</si>
  <si>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</si>
  <si>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</si>
  <si>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</si>
  <si>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</si>
  <si>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</si>
  <si>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</si>
  <si>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</si>
  <si>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</si>
  <si>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</si>
  <si>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</si>
  <si>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</si>
  <si>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</si>
  <si>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</si>
  <si>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</si>
  <si>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</si>
  <si>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</si>
  <si>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</si>
  <si>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</si>
  <si>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</si>
  <si>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</si>
  <si>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</si>
  <si>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</si>
  <si>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</si>
  <si>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</si>
  <si>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</si>
  <si>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</si>
  <si>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</si>
  <si>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</si>
  <si>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</si>
  <si>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</si>
  <si>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</si>
  <si>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</si>
  <si>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</si>
  <si>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</si>
  <si>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</si>
  <si>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</si>
  <si>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</si>
  <si>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MOVIMIENTOS DE JUNIO</t>
  </si>
  <si>
    <t>SALDOS A 30 JUNIO DEL 2012</t>
  </si>
  <si>
    <t>542303 Para gastos de funcionamiento Resolucion No. 6740</t>
  </si>
  <si>
    <t>DTO VOTACION FUNCIONAMIENTO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</si>
  <si>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</si>
  <si>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</si>
  <si>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</si>
  <si>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</si>
  <si>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gestioncontable@unicesar.edu.co orlandoseoanes@unicesar.edu.co; sandravegaramirez@unicesar.edu.co</t>
  </si>
  <si>
    <t>contabilidad@guadalajaradebuga-valle.gov.co; monica.calle@correounivalle.edu.co</t>
  </si>
  <si>
    <t>jorge.aldana@unad.edu.co; luis.campos@unad.edu.co</t>
  </si>
  <si>
    <t>alexacol@univalle.edu.co; monica.calle@correounivalle.edu.co</t>
  </si>
  <si>
    <t>luzdary@utp.edu.co; dipaga@utp.edu.co</t>
  </si>
  <si>
    <t>MOVIMIENTOS DE JULIO</t>
  </si>
  <si>
    <t>SALDOS A 30 JULIO DEL 2012</t>
  </si>
  <si>
    <t>ruth.garcia@unicolmayor.edu.co</t>
  </si>
  <si>
    <t>MOVIMIENTOS DE AGOSTO</t>
  </si>
  <si>
    <t>SALDOS A 31 DE AGOSTO DEL 2012</t>
  </si>
  <si>
    <t>244023 Contribuciones</t>
  </si>
  <si>
    <t>SALDOS DE CUENTAS - OTRAS TRANSFERENCIAS</t>
  </si>
  <si>
    <t>MOVIMIENTOS DE SEPTIEMBRE</t>
  </si>
  <si>
    <t>SALDOS A 30 DE SEPTIEMBRE DEL 2012</t>
  </si>
  <si>
    <t>Septiembre</t>
  </si>
  <si>
    <t>Total Septiembre</t>
  </si>
  <si>
    <t>NIT sin DV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</si>
</sst>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ndale W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9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43" fontId="12" fillId="0" borderId="0" xfId="48" applyFont="1" applyBorder="1" applyAlignment="1">
      <alignment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3" fontId="2" fillId="34" borderId="10" xfId="54" applyNumberFormat="1" applyFill="1" applyBorder="1" applyAlignment="1">
      <alignment/>
      <protection/>
    </xf>
    <xf numFmtId="0" fontId="50" fillId="0" borderId="16" xfId="0" applyFont="1" applyBorder="1" applyAlignment="1">
      <alignment vertical="top"/>
    </xf>
    <xf numFmtId="3" fontId="12" fillId="0" borderId="17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43" fontId="2" fillId="0" borderId="0" xfId="48" applyAlignment="1">
      <alignment wrapText="1"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0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11.421875" defaultRowHeight="15"/>
  <cols>
    <col min="1" max="1" width="13.8515625" style="20" customWidth="1"/>
    <col min="2" max="2" width="12.7109375" style="20" customWidth="1"/>
    <col min="3" max="3" width="14.57421875" style="20" customWidth="1"/>
    <col min="4" max="4" width="52.8515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8.8515625" style="20" bestFit="1" customWidth="1"/>
    <col min="51" max="51" width="23.140625" style="20" bestFit="1" customWidth="1"/>
    <col min="52" max="52" width="16.7109375" style="20" customWidth="1"/>
    <col min="53" max="53" width="20.140625" style="20" customWidth="1"/>
    <col min="54" max="54" width="19.57421875" style="20" customWidth="1"/>
    <col min="55" max="55" width="20.00390625" style="20" bestFit="1" customWidth="1"/>
    <col min="56" max="56" width="18.8515625" style="20" bestFit="1" customWidth="1"/>
    <col min="57" max="57" width="21.57421875" style="20" bestFit="1" customWidth="1"/>
    <col min="58" max="58" width="18.8515625" style="20" bestFit="1" customWidth="1"/>
    <col min="59" max="59" width="23.140625" style="20" bestFit="1" customWidth="1"/>
    <col min="60" max="60" width="15.7109375" style="20" customWidth="1"/>
    <col min="61" max="61" width="20.140625" style="20" bestFit="1" customWidth="1"/>
    <col min="62" max="62" width="17.57421875" style="20" bestFit="1" customWidth="1"/>
    <col min="63" max="63" width="17.57421875" style="20" customWidth="1"/>
    <col min="64" max="64" width="20.00390625" style="20" bestFit="1" customWidth="1"/>
    <col min="65" max="65" width="18.8515625" style="20" bestFit="1" customWidth="1"/>
    <col min="66" max="66" width="21.57421875" style="20" bestFit="1" customWidth="1"/>
    <col min="67" max="67" width="18.8515625" style="20" bestFit="1" customWidth="1"/>
    <col min="68" max="68" width="17.57421875" style="20" bestFit="1" customWidth="1"/>
    <col min="69" max="69" width="18.421875" style="20" customWidth="1"/>
    <col min="70" max="70" width="16.28125" style="20" customWidth="1"/>
    <col min="71" max="71" width="19.57421875" style="20" customWidth="1"/>
    <col min="72" max="73" width="19.8515625" style="20" bestFit="1" customWidth="1"/>
    <col min="74" max="74" width="20.7109375" style="20" bestFit="1" customWidth="1"/>
    <col min="75" max="75" width="21.57421875" style="20" bestFit="1" customWidth="1"/>
    <col min="76" max="76" width="22.00390625" style="20" customWidth="1"/>
    <col min="77" max="78" width="18.8515625" style="20" bestFit="1" customWidth="1"/>
    <col min="79" max="79" width="14.57421875" style="20" bestFit="1" customWidth="1"/>
    <col min="80" max="16384" width="11.421875" style="20" customWidth="1"/>
  </cols>
  <sheetData>
    <row r="1" spans="1:12" s="5" customFormat="1" ht="30.75" customHeight="1">
      <c r="A1" s="1" t="s">
        <v>186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78" s="7" customFormat="1" ht="22.5" customHeight="1">
      <c r="A2" s="6"/>
      <c r="B2" s="6"/>
      <c r="C2" s="6"/>
      <c r="D2" s="6"/>
      <c r="E2" s="6"/>
      <c r="F2" s="84" t="s">
        <v>0</v>
      </c>
      <c r="G2" s="85"/>
      <c r="H2" s="85"/>
      <c r="I2" s="86"/>
      <c r="J2" s="88" t="s">
        <v>160</v>
      </c>
      <c r="K2" s="89"/>
      <c r="L2" s="89"/>
      <c r="M2" s="84" t="s">
        <v>156</v>
      </c>
      <c r="N2" s="85"/>
      <c r="O2" s="85"/>
      <c r="P2" s="88" t="s">
        <v>159</v>
      </c>
      <c r="Q2" s="89"/>
      <c r="R2" s="89"/>
      <c r="S2" s="84" t="s">
        <v>157</v>
      </c>
      <c r="T2" s="85"/>
      <c r="U2" s="85"/>
      <c r="V2" s="88" t="s">
        <v>158</v>
      </c>
      <c r="W2" s="89"/>
      <c r="X2" s="89"/>
      <c r="Y2" s="84" t="s">
        <v>161</v>
      </c>
      <c r="Z2" s="85"/>
      <c r="AA2" s="85"/>
      <c r="AB2" s="87" t="s">
        <v>162</v>
      </c>
      <c r="AC2" s="87"/>
      <c r="AD2" s="87"/>
      <c r="AE2" s="87"/>
      <c r="AF2" s="84" t="s">
        <v>165</v>
      </c>
      <c r="AG2" s="85"/>
      <c r="AH2" s="85"/>
      <c r="AI2" s="86"/>
      <c r="AJ2" s="87" t="s">
        <v>166</v>
      </c>
      <c r="AK2" s="87"/>
      <c r="AL2" s="87"/>
      <c r="AM2" s="87"/>
      <c r="AN2" s="84" t="s">
        <v>167</v>
      </c>
      <c r="AO2" s="85"/>
      <c r="AP2" s="85"/>
      <c r="AQ2" s="85"/>
      <c r="AR2" s="85"/>
      <c r="AS2" s="85"/>
      <c r="AT2" s="86"/>
      <c r="AU2" s="87" t="s">
        <v>168</v>
      </c>
      <c r="AV2" s="87"/>
      <c r="AW2" s="87"/>
      <c r="AX2" s="87"/>
      <c r="AY2" s="84" t="s">
        <v>180</v>
      </c>
      <c r="AZ2" s="85"/>
      <c r="BA2" s="85"/>
      <c r="BB2" s="86"/>
      <c r="BC2" s="87" t="s">
        <v>181</v>
      </c>
      <c r="BD2" s="87"/>
      <c r="BE2" s="87"/>
      <c r="BF2" s="87"/>
      <c r="BG2" s="84" t="s">
        <v>183</v>
      </c>
      <c r="BH2" s="85"/>
      <c r="BI2" s="85"/>
      <c r="BJ2" s="85"/>
      <c r="BK2" s="86"/>
      <c r="BL2" s="90" t="s">
        <v>184</v>
      </c>
      <c r="BM2" s="91"/>
      <c r="BN2" s="91"/>
      <c r="BO2" s="91"/>
      <c r="BP2" s="91"/>
      <c r="BQ2" s="84" t="s">
        <v>187</v>
      </c>
      <c r="BR2" s="85"/>
      <c r="BS2" s="85"/>
      <c r="BT2" s="85"/>
      <c r="BU2" s="86"/>
      <c r="BV2" s="90" t="s">
        <v>188</v>
      </c>
      <c r="BW2" s="91"/>
      <c r="BX2" s="91"/>
      <c r="BY2" s="91"/>
      <c r="BZ2" s="91"/>
    </row>
    <row r="3" spans="1:78" s="13" customFormat="1" ht="48" customHeight="1">
      <c r="A3" s="8" t="s">
        <v>1</v>
      </c>
      <c r="B3" s="8" t="s">
        <v>191</v>
      </c>
      <c r="C3" s="8" t="s">
        <v>2</v>
      </c>
      <c r="D3" s="9" t="s">
        <v>3</v>
      </c>
      <c r="E3" s="8" t="s">
        <v>4</v>
      </c>
      <c r="F3" s="10" t="s">
        <v>94</v>
      </c>
      <c r="G3" s="11" t="s">
        <v>95</v>
      </c>
      <c r="H3" s="12" t="s">
        <v>96</v>
      </c>
      <c r="I3" s="11" t="s">
        <v>97</v>
      </c>
      <c r="J3" s="8" t="s">
        <v>94</v>
      </c>
      <c r="K3" s="8" t="s">
        <v>95</v>
      </c>
      <c r="L3" s="8" t="s">
        <v>96</v>
      </c>
      <c r="M3" s="10" t="s">
        <v>94</v>
      </c>
      <c r="N3" s="11" t="s">
        <v>95</v>
      </c>
      <c r="O3" s="12" t="s">
        <v>96</v>
      </c>
      <c r="P3" s="8" t="s">
        <v>94</v>
      </c>
      <c r="Q3" s="8" t="s">
        <v>95</v>
      </c>
      <c r="R3" s="8" t="s">
        <v>96</v>
      </c>
      <c r="S3" s="10" t="s">
        <v>94</v>
      </c>
      <c r="T3" s="11" t="s">
        <v>95</v>
      </c>
      <c r="U3" s="12" t="s">
        <v>96</v>
      </c>
      <c r="V3" s="8" t="s">
        <v>94</v>
      </c>
      <c r="W3" s="8" t="s">
        <v>95</v>
      </c>
      <c r="X3" s="8" t="s">
        <v>96</v>
      </c>
      <c r="Y3" s="10" t="s">
        <v>94</v>
      </c>
      <c r="Z3" s="11" t="s">
        <v>95</v>
      </c>
      <c r="AA3" s="12" t="s">
        <v>96</v>
      </c>
      <c r="AB3" s="8" t="s">
        <v>94</v>
      </c>
      <c r="AC3" s="8" t="s">
        <v>95</v>
      </c>
      <c r="AD3" s="8" t="s">
        <v>96</v>
      </c>
      <c r="AE3" s="8" t="s">
        <v>163</v>
      </c>
      <c r="AF3" s="10" t="s">
        <v>94</v>
      </c>
      <c r="AG3" s="11" t="s">
        <v>95</v>
      </c>
      <c r="AH3" s="12" t="s">
        <v>96</v>
      </c>
      <c r="AI3" s="12" t="s">
        <v>163</v>
      </c>
      <c r="AJ3" s="8" t="s">
        <v>94</v>
      </c>
      <c r="AK3" s="8" t="s">
        <v>95</v>
      </c>
      <c r="AL3" s="8" t="s">
        <v>96</v>
      </c>
      <c r="AM3" s="8" t="s">
        <v>163</v>
      </c>
      <c r="AN3" s="10" t="s">
        <v>94</v>
      </c>
      <c r="AO3" s="11" t="s">
        <v>95</v>
      </c>
      <c r="AP3" s="12" t="s">
        <v>96</v>
      </c>
      <c r="AQ3" s="71" t="s">
        <v>169</v>
      </c>
      <c r="AR3" s="75" t="s">
        <v>171</v>
      </c>
      <c r="AS3" s="74" t="s">
        <v>172</v>
      </c>
      <c r="AT3" s="12" t="s">
        <v>163</v>
      </c>
      <c r="AU3" s="8" t="s">
        <v>94</v>
      </c>
      <c r="AV3" s="8" t="s">
        <v>95</v>
      </c>
      <c r="AW3" s="8" t="s">
        <v>96</v>
      </c>
      <c r="AX3" s="8" t="s">
        <v>173</v>
      </c>
      <c r="AY3" s="10" t="s">
        <v>94</v>
      </c>
      <c r="AZ3" s="11" t="s">
        <v>95</v>
      </c>
      <c r="BA3" s="12" t="s">
        <v>96</v>
      </c>
      <c r="BB3" s="12" t="s">
        <v>163</v>
      </c>
      <c r="BC3" s="8" t="s">
        <v>94</v>
      </c>
      <c r="BD3" s="8" t="s">
        <v>95</v>
      </c>
      <c r="BE3" s="8" t="s">
        <v>96</v>
      </c>
      <c r="BF3" s="8" t="s">
        <v>173</v>
      </c>
      <c r="BG3" s="10" t="s">
        <v>94</v>
      </c>
      <c r="BH3" s="11" t="s">
        <v>95</v>
      </c>
      <c r="BI3" s="12" t="s">
        <v>96</v>
      </c>
      <c r="BJ3" s="12" t="s">
        <v>163</v>
      </c>
      <c r="BK3" s="81" t="s">
        <v>185</v>
      </c>
      <c r="BL3" s="8" t="s">
        <v>94</v>
      </c>
      <c r="BM3" s="8" t="s">
        <v>95</v>
      </c>
      <c r="BN3" s="8" t="s">
        <v>96</v>
      </c>
      <c r="BO3" s="8" t="s">
        <v>173</v>
      </c>
      <c r="BP3" s="8" t="s">
        <v>185</v>
      </c>
      <c r="BQ3" s="10" t="s">
        <v>94</v>
      </c>
      <c r="BR3" s="11" t="s">
        <v>95</v>
      </c>
      <c r="BS3" s="12" t="s">
        <v>96</v>
      </c>
      <c r="BT3" s="12" t="s">
        <v>163</v>
      </c>
      <c r="BU3" s="81" t="s">
        <v>185</v>
      </c>
      <c r="BV3" s="8" t="s">
        <v>94</v>
      </c>
      <c r="BW3" s="8" t="s">
        <v>95</v>
      </c>
      <c r="BX3" s="8" t="s">
        <v>96</v>
      </c>
      <c r="BY3" s="8" t="s">
        <v>173</v>
      </c>
      <c r="BZ3" s="8" t="s">
        <v>185</v>
      </c>
    </row>
    <row r="4" spans="1:78" ht="12.75">
      <c r="A4" s="14">
        <v>8001189541</v>
      </c>
      <c r="B4" s="14">
        <v>800118954</v>
      </c>
      <c r="C4" s="14">
        <v>124552000</v>
      </c>
      <c r="D4" s="15" t="s">
        <v>5</v>
      </c>
      <c r="E4" s="16" t="s">
        <v>6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64">
        <v>61626677</v>
      </c>
      <c r="AF4" s="17">
        <v>0</v>
      </c>
      <c r="AG4" s="17"/>
      <c r="AH4" s="18"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  <c r="AN4" s="17">
        <v>0</v>
      </c>
      <c r="AO4" s="17">
        <v>462200079</v>
      </c>
      <c r="AP4" s="18">
        <v>6162667720</v>
      </c>
      <c r="AQ4" s="18">
        <v>1257050087</v>
      </c>
      <c r="AR4" s="18">
        <v>17288810</v>
      </c>
      <c r="AS4" s="18"/>
      <c r="AT4" s="18">
        <v>440002843</v>
      </c>
      <c r="AU4" s="19">
        <f>+AJ4+AN4</f>
        <v>0</v>
      </c>
      <c r="AV4" s="19">
        <f>+AK4+AO4</f>
        <v>462200079</v>
      </c>
      <c r="AW4" s="19">
        <f>+AL4+AP4+AQ4+AR4+AS4</f>
        <v>26338526184.6</v>
      </c>
      <c r="AX4" s="19">
        <f>+AM4+AT4</f>
        <v>501629520</v>
      </c>
      <c r="AY4" s="17">
        <v>0</v>
      </c>
      <c r="AZ4" s="17"/>
      <c r="BA4" s="17">
        <v>3081333860</v>
      </c>
      <c r="BB4" s="17"/>
      <c r="BC4" s="19">
        <f>+AU4+AY4</f>
        <v>0</v>
      </c>
      <c r="BD4" s="19">
        <f>+AV4+AZ4</f>
        <v>462200079</v>
      </c>
      <c r="BE4" s="19">
        <f>+AW4+BA4</f>
        <v>29419860044.6</v>
      </c>
      <c r="BF4" s="19">
        <f>+AX4+BB4</f>
        <v>501629520</v>
      </c>
      <c r="BG4" s="17">
        <v>0</v>
      </c>
      <c r="BH4" s="17"/>
      <c r="BI4" s="17">
        <v>3081333860</v>
      </c>
      <c r="BJ4" s="17"/>
      <c r="BK4" s="17">
        <v>148394356</v>
      </c>
      <c r="BL4" s="19">
        <f>+BC4+BG4</f>
        <v>0</v>
      </c>
      <c r="BM4" s="19">
        <f>+BD4+BH4</f>
        <v>462200079</v>
      </c>
      <c r="BN4" s="19">
        <f>+BE4+BI4</f>
        <v>32501193904.6</v>
      </c>
      <c r="BO4" s="19">
        <f>+BF4+BJ4</f>
        <v>501629520</v>
      </c>
      <c r="BP4" s="82">
        <f>+BK4</f>
        <v>148394356</v>
      </c>
      <c r="BQ4" s="17">
        <v>0</v>
      </c>
      <c r="BR4" s="17"/>
      <c r="BS4" s="17">
        <v>3786774644</v>
      </c>
      <c r="BT4" s="17"/>
      <c r="BU4" s="17">
        <v>75735493</v>
      </c>
      <c r="BV4" s="19">
        <f>+BL4+BQ4</f>
        <v>0</v>
      </c>
      <c r="BW4" s="19">
        <f>+BM4+BR4</f>
        <v>462200079</v>
      </c>
      <c r="BX4" s="19">
        <f>+BN4+BS4</f>
        <v>36287968548.6</v>
      </c>
      <c r="BY4" s="19">
        <f>+BO4+BT4</f>
        <v>501629520</v>
      </c>
      <c r="BZ4" s="19">
        <f>+BP4+BU4</f>
        <v>224129849</v>
      </c>
    </row>
    <row r="5" spans="1:78" ht="12.75">
      <c r="A5" s="14">
        <v>8001240234</v>
      </c>
      <c r="B5" s="14">
        <v>800124023</v>
      </c>
      <c r="C5" s="14">
        <v>824276000</v>
      </c>
      <c r="D5" s="15" t="s">
        <v>7</v>
      </c>
      <c r="E5" s="16" t="s">
        <v>102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64">
        <v>3434291</v>
      </c>
      <c r="AF5" s="17">
        <v>0</v>
      </c>
      <c r="AG5" s="17"/>
      <c r="AH5" s="18"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  <c r="AN5" s="17">
        <v>0</v>
      </c>
      <c r="AO5" s="17">
        <v>0</v>
      </c>
      <c r="AP5" s="18">
        <v>171714544</v>
      </c>
      <c r="AQ5" s="18">
        <v>0</v>
      </c>
      <c r="AR5" s="18">
        <v>0</v>
      </c>
      <c r="AS5" s="18"/>
      <c r="AT5" s="18">
        <v>0</v>
      </c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1030287264</v>
      </c>
      <c r="AX5" s="19">
        <f aca="true" t="shared" si="17" ref="AX5:AX54">+AM5+AT5</f>
        <v>3434291</v>
      </c>
      <c r="AY5" s="17">
        <v>0</v>
      </c>
      <c r="AZ5" s="17"/>
      <c r="BA5" s="17">
        <v>171714544</v>
      </c>
      <c r="BB5" s="17"/>
      <c r="BC5" s="19">
        <f aca="true" t="shared" si="18" ref="BC5:BC36">+AU5+AY5</f>
        <v>0</v>
      </c>
      <c r="BD5" s="19">
        <f aca="true" t="shared" si="19" ref="BD5:BD36">+AV5+AZ5</f>
        <v>0</v>
      </c>
      <c r="BE5" s="19">
        <f aca="true" t="shared" si="20" ref="BE5:BE54">+AW5+BA5</f>
        <v>1202001808</v>
      </c>
      <c r="BF5" s="19">
        <f aca="true" t="shared" si="21" ref="BF5:BF36">+AX5+BB5</f>
        <v>3434291</v>
      </c>
      <c r="BG5" s="17">
        <v>0</v>
      </c>
      <c r="BH5" s="17"/>
      <c r="BI5" s="17">
        <v>171714544</v>
      </c>
      <c r="BJ5" s="17"/>
      <c r="BK5" s="17">
        <v>24040037</v>
      </c>
      <c r="BL5" s="19">
        <f aca="true" t="shared" si="22" ref="BL5:BL54">+BC5+BG5</f>
        <v>0</v>
      </c>
      <c r="BM5" s="19">
        <f aca="true" t="shared" si="23" ref="BM5:BM54">+BD5+BH5</f>
        <v>0</v>
      </c>
      <c r="BN5" s="19">
        <f aca="true" t="shared" si="24" ref="BN5:BN54">+BE5+BI5</f>
        <v>1373716352</v>
      </c>
      <c r="BO5" s="19">
        <f aca="true" t="shared" si="25" ref="BO5:BO54">+BF5+BJ5</f>
        <v>3434291</v>
      </c>
      <c r="BP5" s="82">
        <f aca="true" t="shared" si="26" ref="BP5:BP54">+BK5</f>
        <v>24040037</v>
      </c>
      <c r="BQ5" s="17">
        <v>0</v>
      </c>
      <c r="BR5" s="17"/>
      <c r="BS5" s="17">
        <v>171714544</v>
      </c>
      <c r="BT5" s="17"/>
      <c r="BU5" s="17">
        <v>3434291</v>
      </c>
      <c r="BV5" s="19">
        <f aca="true" t="shared" si="27" ref="BV5:BV54">+BL5+BQ5</f>
        <v>0</v>
      </c>
      <c r="BW5" s="19">
        <f aca="true" t="shared" si="28" ref="BW5:BW54">+BM5+BR5</f>
        <v>0</v>
      </c>
      <c r="BX5" s="19">
        <f aca="true" t="shared" si="29" ref="BX5:BX54">+BN5+BS5</f>
        <v>1545430896</v>
      </c>
      <c r="BY5" s="19">
        <f aca="true" t="shared" si="30" ref="BY5:BZ54">+BO5+BT5</f>
        <v>3434291</v>
      </c>
      <c r="BZ5" s="19">
        <f t="shared" si="30"/>
        <v>27474328</v>
      </c>
    </row>
    <row r="6" spans="1:78" ht="12.75">
      <c r="A6" s="14">
        <v>8001448299</v>
      </c>
      <c r="B6" s="14">
        <v>800144829</v>
      </c>
      <c r="C6" s="14">
        <v>821400000</v>
      </c>
      <c r="D6" s="15" t="s">
        <v>8</v>
      </c>
      <c r="E6" s="22" t="s">
        <v>182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64">
        <v>19997146</v>
      </c>
      <c r="AF6" s="17">
        <v>0</v>
      </c>
      <c r="AG6" s="17"/>
      <c r="AH6" s="18"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  <c r="AN6" s="17">
        <v>0</v>
      </c>
      <c r="AO6" s="17">
        <v>158948959</v>
      </c>
      <c r="AP6" s="18">
        <v>1999714638</v>
      </c>
      <c r="AQ6" s="18">
        <v>1795525652</v>
      </c>
      <c r="AR6" s="18">
        <v>340005784</v>
      </c>
      <c r="AS6" s="18"/>
      <c r="AT6" s="18">
        <v>169886618</v>
      </c>
      <c r="AU6" s="19">
        <f t="shared" si="14"/>
        <v>0</v>
      </c>
      <c r="AV6" s="19">
        <f t="shared" si="15"/>
        <v>1028639919</v>
      </c>
      <c r="AW6" s="19">
        <f t="shared" si="16"/>
        <v>10420022944.666666</v>
      </c>
      <c r="AX6" s="19">
        <f t="shared" si="17"/>
        <v>189883764</v>
      </c>
      <c r="AY6" s="17">
        <v>0</v>
      </c>
      <c r="AZ6" s="17"/>
      <c r="BA6" s="17">
        <v>999857319</v>
      </c>
      <c r="BB6" s="17"/>
      <c r="BC6" s="19">
        <f t="shared" si="18"/>
        <v>0</v>
      </c>
      <c r="BD6" s="19">
        <f t="shared" si="19"/>
        <v>1028639919</v>
      </c>
      <c r="BE6" s="19">
        <f t="shared" si="20"/>
        <v>11419880263.666666</v>
      </c>
      <c r="BF6" s="19">
        <f t="shared" si="21"/>
        <v>189883764</v>
      </c>
      <c r="BG6" s="17">
        <v>0</v>
      </c>
      <c r="BH6" s="17"/>
      <c r="BI6" s="17">
        <v>999857319</v>
      </c>
      <c r="BJ6" s="17"/>
      <c r="BK6" s="17">
        <v>75904805</v>
      </c>
      <c r="BL6" s="19">
        <f t="shared" si="22"/>
        <v>0</v>
      </c>
      <c r="BM6" s="19">
        <f t="shared" si="23"/>
        <v>1028639919</v>
      </c>
      <c r="BN6" s="19">
        <f t="shared" si="24"/>
        <v>12419737582.666666</v>
      </c>
      <c r="BO6" s="19">
        <f t="shared" si="25"/>
        <v>189883764</v>
      </c>
      <c r="BP6" s="82">
        <f t="shared" si="26"/>
        <v>75904805</v>
      </c>
      <c r="BQ6" s="17">
        <v>0</v>
      </c>
      <c r="BR6" s="17"/>
      <c r="BS6" s="17">
        <v>1246487551</v>
      </c>
      <c r="BT6" s="17"/>
      <c r="BU6" s="17">
        <v>24929751</v>
      </c>
      <c r="BV6" s="19">
        <f t="shared" si="27"/>
        <v>0</v>
      </c>
      <c r="BW6" s="19">
        <f t="shared" si="28"/>
        <v>1028639919</v>
      </c>
      <c r="BX6" s="19">
        <f t="shared" si="29"/>
        <v>13666225133.666666</v>
      </c>
      <c r="BY6" s="19">
        <f t="shared" si="30"/>
        <v>189883764</v>
      </c>
      <c r="BZ6" s="19">
        <f t="shared" si="30"/>
        <v>100834556</v>
      </c>
    </row>
    <row r="7" spans="1:78" ht="12.75">
      <c r="A7" s="21">
        <v>8001631300</v>
      </c>
      <c r="B7" s="14">
        <v>800163130</v>
      </c>
      <c r="C7" s="14">
        <v>129254000</v>
      </c>
      <c r="D7" s="15" t="s">
        <v>9</v>
      </c>
      <c r="E7" s="22" t="s">
        <v>10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64">
        <v>17637873</v>
      </c>
      <c r="AF7" s="17">
        <v>0</v>
      </c>
      <c r="AG7" s="17"/>
      <c r="AH7" s="18"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  <c r="AN7" s="17">
        <v>0</v>
      </c>
      <c r="AO7" s="17">
        <v>102150957.5</v>
      </c>
      <c r="AP7" s="18">
        <v>1362012762</v>
      </c>
      <c r="AQ7" s="18">
        <v>2493773447</v>
      </c>
      <c r="AR7" s="18">
        <v>12785719</v>
      </c>
      <c r="AS7" s="18"/>
      <c r="AT7" s="18">
        <v>101650029</v>
      </c>
      <c r="AU7" s="19">
        <f t="shared" si="14"/>
        <v>0</v>
      </c>
      <c r="AV7" s="19">
        <f t="shared" si="15"/>
        <v>102150957.5</v>
      </c>
      <c r="AW7" s="19">
        <f t="shared" si="16"/>
        <v>8257281240.733334</v>
      </c>
      <c r="AX7" s="19">
        <f t="shared" si="17"/>
        <v>119287902</v>
      </c>
      <c r="AY7" s="17">
        <v>0</v>
      </c>
      <c r="AZ7" s="17"/>
      <c r="BA7" s="17">
        <v>681006381</v>
      </c>
      <c r="BB7" s="17"/>
      <c r="BC7" s="19">
        <f t="shared" si="18"/>
        <v>0</v>
      </c>
      <c r="BD7" s="19">
        <f t="shared" si="19"/>
        <v>102150957.5</v>
      </c>
      <c r="BE7" s="19">
        <f t="shared" si="20"/>
        <v>8938287621.733334</v>
      </c>
      <c r="BF7" s="19">
        <f t="shared" si="21"/>
        <v>119287902</v>
      </c>
      <c r="BG7" s="17">
        <v>0</v>
      </c>
      <c r="BH7" s="17"/>
      <c r="BI7" s="17">
        <v>681006381</v>
      </c>
      <c r="BJ7" s="17"/>
      <c r="BK7" s="17">
        <v>77115725</v>
      </c>
      <c r="BL7" s="19">
        <f t="shared" si="22"/>
        <v>0</v>
      </c>
      <c r="BM7" s="19">
        <f t="shared" si="23"/>
        <v>102150957.5</v>
      </c>
      <c r="BN7" s="19">
        <f t="shared" si="24"/>
        <v>9619294002.733334</v>
      </c>
      <c r="BO7" s="19">
        <f t="shared" si="25"/>
        <v>119287902</v>
      </c>
      <c r="BP7" s="82">
        <f t="shared" si="26"/>
        <v>77115725</v>
      </c>
      <c r="BQ7" s="17">
        <v>0</v>
      </c>
      <c r="BR7" s="17"/>
      <c r="BS7" s="17">
        <v>852601207</v>
      </c>
      <c r="BT7" s="17"/>
      <c r="BU7" s="17">
        <v>17052024</v>
      </c>
      <c r="BV7" s="19">
        <f t="shared" si="27"/>
        <v>0</v>
      </c>
      <c r="BW7" s="19">
        <f t="shared" si="28"/>
        <v>102150957.5</v>
      </c>
      <c r="BX7" s="19">
        <f t="shared" si="29"/>
        <v>10471895209.733334</v>
      </c>
      <c r="BY7" s="19">
        <f t="shared" si="30"/>
        <v>119287902</v>
      </c>
      <c r="BZ7" s="19">
        <f t="shared" si="30"/>
        <v>94167749</v>
      </c>
    </row>
    <row r="8" spans="1:78" ht="15">
      <c r="A8" s="14">
        <v>8002253408</v>
      </c>
      <c r="B8" s="14">
        <v>800225340</v>
      </c>
      <c r="C8" s="14">
        <v>821700000</v>
      </c>
      <c r="D8" s="15" t="s">
        <v>11</v>
      </c>
      <c r="E8" s="23" t="s">
        <v>12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64">
        <v>11893801</v>
      </c>
      <c r="AF8" s="17">
        <v>0</v>
      </c>
      <c r="AG8" s="17"/>
      <c r="AH8" s="18"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  <c r="AN8" s="17">
        <v>0</v>
      </c>
      <c r="AO8" s="17">
        <v>89327954.5</v>
      </c>
      <c r="AP8" s="18">
        <v>1189380120</v>
      </c>
      <c r="AQ8" s="18">
        <v>2017341890</v>
      </c>
      <c r="AR8" s="18">
        <v>3288948403</v>
      </c>
      <c r="AS8" s="18"/>
      <c r="AT8" s="18">
        <v>156271261</v>
      </c>
      <c r="AU8" s="19">
        <f t="shared" si="14"/>
        <v>0</v>
      </c>
      <c r="AV8" s="19">
        <f t="shared" si="15"/>
        <v>89327954.5</v>
      </c>
      <c r="AW8" s="19">
        <f t="shared" si="16"/>
        <v>10425595088.466667</v>
      </c>
      <c r="AX8" s="19">
        <f t="shared" si="17"/>
        <v>168165062</v>
      </c>
      <c r="AY8" s="17">
        <v>0</v>
      </c>
      <c r="AZ8" s="17"/>
      <c r="BA8" s="17">
        <v>594690060</v>
      </c>
      <c r="BB8" s="17"/>
      <c r="BC8" s="19">
        <f t="shared" si="18"/>
        <v>0</v>
      </c>
      <c r="BD8" s="19">
        <f t="shared" si="19"/>
        <v>89327954.5</v>
      </c>
      <c r="BE8" s="19">
        <f t="shared" si="20"/>
        <v>11020285148.466667</v>
      </c>
      <c r="BF8" s="19">
        <f t="shared" si="21"/>
        <v>168165062</v>
      </c>
      <c r="BG8" s="17">
        <v>0</v>
      </c>
      <c r="BH8" s="17"/>
      <c r="BI8" s="17">
        <v>594690060</v>
      </c>
      <c r="BJ8" s="17"/>
      <c r="BK8" s="17">
        <v>64134440</v>
      </c>
      <c r="BL8" s="19">
        <f t="shared" si="22"/>
        <v>0</v>
      </c>
      <c r="BM8" s="19">
        <f t="shared" si="23"/>
        <v>89327954.5</v>
      </c>
      <c r="BN8" s="19">
        <f t="shared" si="24"/>
        <v>11614975208.466667</v>
      </c>
      <c r="BO8" s="19">
        <f t="shared" si="25"/>
        <v>168165062</v>
      </c>
      <c r="BP8" s="82">
        <f t="shared" si="26"/>
        <v>64134440</v>
      </c>
      <c r="BQ8" s="17">
        <v>0</v>
      </c>
      <c r="BR8" s="17"/>
      <c r="BS8" s="17">
        <v>770576887</v>
      </c>
      <c r="BT8" s="17"/>
      <c r="BU8" s="17">
        <v>15411538</v>
      </c>
      <c r="BV8" s="19">
        <f t="shared" si="27"/>
        <v>0</v>
      </c>
      <c r="BW8" s="19">
        <f t="shared" si="28"/>
        <v>89327954.5</v>
      </c>
      <c r="BX8" s="19">
        <f t="shared" si="29"/>
        <v>12385552095.466667</v>
      </c>
      <c r="BY8" s="19">
        <f t="shared" si="30"/>
        <v>168165062</v>
      </c>
      <c r="BZ8" s="19">
        <f t="shared" si="30"/>
        <v>79545978</v>
      </c>
    </row>
    <row r="9" spans="1:78" ht="12.75">
      <c r="A9" s="14">
        <v>8002479401</v>
      </c>
      <c r="B9" s="14">
        <v>800247940</v>
      </c>
      <c r="C9" s="14">
        <v>824086000</v>
      </c>
      <c r="D9" s="15" t="s">
        <v>13</v>
      </c>
      <c r="E9" s="16" t="s">
        <v>14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64">
        <v>2457062</v>
      </c>
      <c r="AF9" s="17">
        <v>0</v>
      </c>
      <c r="AG9" s="17"/>
      <c r="AH9" s="18"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  <c r="AN9" s="17">
        <v>0</v>
      </c>
      <c r="AO9" s="17">
        <v>0</v>
      </c>
      <c r="AP9" s="18">
        <v>122853105</v>
      </c>
      <c r="AQ9" s="18">
        <v>0</v>
      </c>
      <c r="AR9" s="18">
        <v>0</v>
      </c>
      <c r="AS9" s="18"/>
      <c r="AT9" s="18">
        <v>0</v>
      </c>
      <c r="AU9" s="19">
        <f t="shared" si="14"/>
        <v>0</v>
      </c>
      <c r="AV9" s="19">
        <f t="shared" si="15"/>
        <v>0</v>
      </c>
      <c r="AW9" s="19">
        <f t="shared" si="16"/>
        <v>737118630</v>
      </c>
      <c r="AX9" s="19">
        <f t="shared" si="17"/>
        <v>2457062</v>
      </c>
      <c r="AY9" s="17">
        <v>0</v>
      </c>
      <c r="AZ9" s="17"/>
      <c r="BA9" s="17">
        <v>122853105</v>
      </c>
      <c r="BB9" s="17"/>
      <c r="BC9" s="19">
        <f t="shared" si="18"/>
        <v>0</v>
      </c>
      <c r="BD9" s="19">
        <f t="shared" si="19"/>
        <v>0</v>
      </c>
      <c r="BE9" s="19">
        <f t="shared" si="20"/>
        <v>859971735</v>
      </c>
      <c r="BF9" s="19">
        <f t="shared" si="21"/>
        <v>2457062</v>
      </c>
      <c r="BG9" s="17">
        <v>0</v>
      </c>
      <c r="BH9" s="17"/>
      <c r="BI9" s="17">
        <v>122853105</v>
      </c>
      <c r="BJ9" s="17"/>
      <c r="BK9" s="17">
        <v>17199434</v>
      </c>
      <c r="BL9" s="19">
        <f t="shared" si="22"/>
        <v>0</v>
      </c>
      <c r="BM9" s="19">
        <f t="shared" si="23"/>
        <v>0</v>
      </c>
      <c r="BN9" s="19">
        <f t="shared" si="24"/>
        <v>982824840</v>
      </c>
      <c r="BO9" s="19">
        <f t="shared" si="25"/>
        <v>2457062</v>
      </c>
      <c r="BP9" s="82">
        <f t="shared" si="26"/>
        <v>17199434</v>
      </c>
      <c r="BQ9" s="17">
        <v>0</v>
      </c>
      <c r="BR9" s="17"/>
      <c r="BS9" s="17">
        <v>122853105</v>
      </c>
      <c r="BT9" s="17"/>
      <c r="BU9" s="17">
        <v>2457062</v>
      </c>
      <c r="BV9" s="19">
        <f t="shared" si="27"/>
        <v>0</v>
      </c>
      <c r="BW9" s="19">
        <f t="shared" si="28"/>
        <v>0</v>
      </c>
      <c r="BX9" s="19">
        <f t="shared" si="29"/>
        <v>1105677945</v>
      </c>
      <c r="BY9" s="19">
        <f t="shared" si="30"/>
        <v>2457062</v>
      </c>
      <c r="BZ9" s="19">
        <f t="shared" si="30"/>
        <v>19656496</v>
      </c>
    </row>
    <row r="10" spans="1:78" ht="12.75">
      <c r="A10" s="14"/>
      <c r="B10" s="14">
        <v>800248004</v>
      </c>
      <c r="C10" s="14">
        <v>825717000</v>
      </c>
      <c r="D10" s="15" t="s">
        <v>164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64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  <c r="AN10" s="17">
        <v>0</v>
      </c>
      <c r="AO10" s="17">
        <v>0</v>
      </c>
      <c r="AP10" s="18">
        <v>0</v>
      </c>
      <c r="AQ10" s="18">
        <v>0</v>
      </c>
      <c r="AR10" s="18">
        <v>0</v>
      </c>
      <c r="AS10" s="18"/>
      <c r="AT10" s="18">
        <v>3624666.2</v>
      </c>
      <c r="AU10" s="19">
        <f t="shared" si="14"/>
        <v>0</v>
      </c>
      <c r="AV10" s="19">
        <f t="shared" si="15"/>
        <v>0</v>
      </c>
      <c r="AW10" s="19">
        <f t="shared" si="16"/>
        <v>0</v>
      </c>
      <c r="AX10" s="19">
        <f t="shared" si="17"/>
        <v>22556089.7</v>
      </c>
      <c r="AY10" s="17">
        <v>0</v>
      </c>
      <c r="AZ10" s="17"/>
      <c r="BA10" s="17">
        <v>0</v>
      </c>
      <c r="BB10" s="17">
        <v>4422979.37</v>
      </c>
      <c r="BC10" s="19">
        <f t="shared" si="18"/>
        <v>0</v>
      </c>
      <c r="BD10" s="19">
        <f t="shared" si="19"/>
        <v>0</v>
      </c>
      <c r="BE10" s="19">
        <f t="shared" si="20"/>
        <v>0</v>
      </c>
      <c r="BF10" s="19">
        <f t="shared" si="21"/>
        <v>26979069.07</v>
      </c>
      <c r="BG10" s="17">
        <v>0</v>
      </c>
      <c r="BH10" s="17"/>
      <c r="BI10" s="17">
        <v>0</v>
      </c>
      <c r="BJ10" s="17">
        <v>3282347.6799999997</v>
      </c>
      <c r="BK10" s="17">
        <v>0</v>
      </c>
      <c r="BL10" s="19">
        <f t="shared" si="22"/>
        <v>0</v>
      </c>
      <c r="BM10" s="19">
        <f t="shared" si="23"/>
        <v>0</v>
      </c>
      <c r="BN10" s="19">
        <f t="shared" si="24"/>
        <v>0</v>
      </c>
      <c r="BO10" s="19">
        <f t="shared" si="25"/>
        <v>30261416.75</v>
      </c>
      <c r="BP10" s="82">
        <f t="shared" si="26"/>
        <v>0</v>
      </c>
      <c r="BQ10" s="17">
        <v>0</v>
      </c>
      <c r="BR10" s="17"/>
      <c r="BS10" s="17">
        <v>0</v>
      </c>
      <c r="BT10" s="17">
        <v>3582892.32</v>
      </c>
      <c r="BU10" s="17">
        <v>0</v>
      </c>
      <c r="BV10" s="19">
        <f t="shared" si="27"/>
        <v>0</v>
      </c>
      <c r="BW10" s="19">
        <f t="shared" si="28"/>
        <v>0</v>
      </c>
      <c r="BX10" s="19">
        <f t="shared" si="29"/>
        <v>0</v>
      </c>
      <c r="BY10" s="19">
        <f t="shared" si="30"/>
        <v>33844309.07</v>
      </c>
      <c r="BZ10" s="19">
        <f t="shared" si="30"/>
        <v>0</v>
      </c>
    </row>
    <row r="11" spans="1:78" ht="12.75">
      <c r="A11" s="14">
        <v>8350003004</v>
      </c>
      <c r="B11" s="14">
        <v>835000300</v>
      </c>
      <c r="C11" s="14">
        <v>826076000</v>
      </c>
      <c r="D11" s="15" t="s">
        <v>15</v>
      </c>
      <c r="E11" s="16" t="s">
        <v>16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64">
        <v>17828447</v>
      </c>
      <c r="AF11" s="17">
        <v>0</v>
      </c>
      <c r="AG11" s="17"/>
      <c r="AH11" s="18"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  <c r="AN11" s="17">
        <v>0</v>
      </c>
      <c r="AO11" s="17">
        <v>103703065</v>
      </c>
      <c r="AP11" s="18">
        <v>1331328966</v>
      </c>
      <c r="AQ11" s="18">
        <v>2560268805</v>
      </c>
      <c r="AR11" s="18">
        <v>14051356</v>
      </c>
      <c r="AS11" s="18"/>
      <c r="AT11" s="18">
        <v>107765628</v>
      </c>
      <c r="AU11" s="19">
        <f t="shared" si="14"/>
        <v>0</v>
      </c>
      <c r="AV11" s="19">
        <f t="shared" si="15"/>
        <v>478138916</v>
      </c>
      <c r="AW11" s="19">
        <f t="shared" si="16"/>
        <v>8239778816</v>
      </c>
      <c r="AX11" s="19">
        <f t="shared" si="17"/>
        <v>125594075</v>
      </c>
      <c r="AY11" s="17">
        <v>0</v>
      </c>
      <c r="AZ11" s="17"/>
      <c r="BA11" s="17">
        <v>665664483</v>
      </c>
      <c r="BB11" s="17"/>
      <c r="BC11" s="19">
        <f t="shared" si="18"/>
        <v>0</v>
      </c>
      <c r="BD11" s="19">
        <f t="shared" si="19"/>
        <v>478138916</v>
      </c>
      <c r="BE11" s="19">
        <f t="shared" si="20"/>
        <v>8905443299</v>
      </c>
      <c r="BF11" s="19">
        <f t="shared" si="21"/>
        <v>125594075</v>
      </c>
      <c r="BG11" s="17">
        <v>0</v>
      </c>
      <c r="BH11" s="17"/>
      <c r="BI11" s="17">
        <v>665664483</v>
      </c>
      <c r="BJ11" s="17"/>
      <c r="BK11" s="17">
        <v>77831955</v>
      </c>
      <c r="BL11" s="19">
        <f t="shared" si="22"/>
        <v>0</v>
      </c>
      <c r="BM11" s="19">
        <f t="shared" si="23"/>
        <v>478138916</v>
      </c>
      <c r="BN11" s="19">
        <f t="shared" si="24"/>
        <v>9571107782</v>
      </c>
      <c r="BO11" s="19">
        <f t="shared" si="25"/>
        <v>125594075</v>
      </c>
      <c r="BP11" s="82">
        <f t="shared" si="26"/>
        <v>77831955</v>
      </c>
      <c r="BQ11" s="17">
        <v>0</v>
      </c>
      <c r="BR11" s="17"/>
      <c r="BS11" s="17">
        <v>846206442</v>
      </c>
      <c r="BT11" s="17"/>
      <c r="BU11" s="17">
        <v>16924130</v>
      </c>
      <c r="BV11" s="19">
        <f t="shared" si="27"/>
        <v>0</v>
      </c>
      <c r="BW11" s="19">
        <f t="shared" si="28"/>
        <v>478138916</v>
      </c>
      <c r="BX11" s="19">
        <f t="shared" si="29"/>
        <v>10417314224</v>
      </c>
      <c r="BY11" s="19">
        <f t="shared" si="30"/>
        <v>125594075</v>
      </c>
      <c r="BZ11" s="19">
        <f t="shared" si="30"/>
        <v>94756085</v>
      </c>
    </row>
    <row r="12" spans="1:78" ht="12.75">
      <c r="A12" s="14">
        <v>8605127804</v>
      </c>
      <c r="B12" s="14">
        <v>860512780</v>
      </c>
      <c r="C12" s="14">
        <v>822000000</v>
      </c>
      <c r="D12" s="15" t="s">
        <v>17</v>
      </c>
      <c r="E12" s="16" t="s">
        <v>177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64">
        <v>41154179</v>
      </c>
      <c r="AF12" s="17">
        <v>0</v>
      </c>
      <c r="AG12" s="17"/>
      <c r="AH12" s="18"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  <c r="AN12" s="17">
        <v>0</v>
      </c>
      <c r="AO12" s="17">
        <v>322990879</v>
      </c>
      <c r="AP12" s="18">
        <v>4115417912</v>
      </c>
      <c r="AQ12" s="18">
        <v>2518451005</v>
      </c>
      <c r="AR12" s="18">
        <v>5246754319</v>
      </c>
      <c r="AS12" s="18"/>
      <c r="AT12" s="18">
        <v>425023550</v>
      </c>
      <c r="AU12" s="19">
        <f t="shared" si="14"/>
        <v>0</v>
      </c>
      <c r="AV12" s="19">
        <f t="shared" si="15"/>
        <v>1681719663</v>
      </c>
      <c r="AW12" s="19">
        <f t="shared" si="16"/>
        <v>24468608696.666664</v>
      </c>
      <c r="AX12" s="19">
        <f t="shared" si="17"/>
        <v>466177729</v>
      </c>
      <c r="AY12" s="17">
        <v>0</v>
      </c>
      <c r="AZ12" s="17"/>
      <c r="BA12" s="17">
        <v>2057708956</v>
      </c>
      <c r="BB12" s="17"/>
      <c r="BC12" s="19">
        <f t="shared" si="18"/>
        <v>0</v>
      </c>
      <c r="BD12" s="19">
        <f t="shared" si="19"/>
        <v>1681719663</v>
      </c>
      <c r="BE12" s="19">
        <f t="shared" si="20"/>
        <v>26526317652.666664</v>
      </c>
      <c r="BF12" s="19">
        <f t="shared" si="21"/>
        <v>466177729</v>
      </c>
      <c r="BG12" s="17">
        <v>0</v>
      </c>
      <c r="BH12" s="17"/>
      <c r="BI12" s="17">
        <v>2057708956</v>
      </c>
      <c r="BJ12" s="17"/>
      <c r="BK12" s="17">
        <v>132677378</v>
      </c>
      <c r="BL12" s="19">
        <f t="shared" si="22"/>
        <v>0</v>
      </c>
      <c r="BM12" s="19">
        <f t="shared" si="23"/>
        <v>1681719663</v>
      </c>
      <c r="BN12" s="19">
        <f t="shared" si="24"/>
        <v>28584026608.666664</v>
      </c>
      <c r="BO12" s="19">
        <f t="shared" si="25"/>
        <v>466177729</v>
      </c>
      <c r="BP12" s="82">
        <f t="shared" si="26"/>
        <v>132677378</v>
      </c>
      <c r="BQ12" s="17">
        <v>0</v>
      </c>
      <c r="BR12" s="17"/>
      <c r="BS12" s="17">
        <v>2502227814</v>
      </c>
      <c r="BT12" s="17"/>
      <c r="BU12" s="17">
        <v>50044557</v>
      </c>
      <c r="BV12" s="19">
        <f t="shared" si="27"/>
        <v>0</v>
      </c>
      <c r="BW12" s="19">
        <f t="shared" si="28"/>
        <v>1681719663</v>
      </c>
      <c r="BX12" s="19">
        <f t="shared" si="29"/>
        <v>31086254422.666664</v>
      </c>
      <c r="BY12" s="19">
        <f t="shared" si="30"/>
        <v>466177729</v>
      </c>
      <c r="BZ12" s="19">
        <f t="shared" si="30"/>
        <v>182721935</v>
      </c>
    </row>
    <row r="13" spans="1:78" ht="12.75">
      <c r="A13" s="14">
        <v>8605251485</v>
      </c>
      <c r="B13" s="14">
        <v>860525148</v>
      </c>
      <c r="C13" s="14">
        <v>44600000</v>
      </c>
      <c r="D13" s="15" t="s">
        <v>18</v>
      </c>
      <c r="E13" s="16" t="s">
        <v>19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64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  <c r="AN13" s="17">
        <v>0</v>
      </c>
      <c r="AO13" s="17">
        <v>0</v>
      </c>
      <c r="AP13" s="18">
        <v>0</v>
      </c>
      <c r="AQ13" s="18">
        <v>0</v>
      </c>
      <c r="AR13" s="18">
        <v>0</v>
      </c>
      <c r="AS13" s="18"/>
      <c r="AT13" s="18">
        <v>0</v>
      </c>
      <c r="AU13" s="19">
        <f t="shared" si="14"/>
        <v>0</v>
      </c>
      <c r="AV13" s="19">
        <f t="shared" si="15"/>
        <v>0</v>
      </c>
      <c r="AW13" s="19">
        <f t="shared" si="16"/>
        <v>0</v>
      </c>
      <c r="AX13" s="19">
        <f t="shared" si="17"/>
        <v>0</v>
      </c>
      <c r="AY13" s="17">
        <v>0</v>
      </c>
      <c r="AZ13" s="17"/>
      <c r="BA13" s="17">
        <v>0</v>
      </c>
      <c r="BB13" s="17"/>
      <c r="BC13" s="19">
        <f t="shared" si="18"/>
        <v>0</v>
      </c>
      <c r="BD13" s="19">
        <f t="shared" si="19"/>
        <v>0</v>
      </c>
      <c r="BE13" s="19">
        <f t="shared" si="20"/>
        <v>0</v>
      </c>
      <c r="BF13" s="19">
        <f t="shared" si="21"/>
        <v>0</v>
      </c>
      <c r="BG13" s="17">
        <v>0</v>
      </c>
      <c r="BH13" s="17"/>
      <c r="BI13" s="17">
        <v>0</v>
      </c>
      <c r="BJ13" s="17"/>
      <c r="BK13" s="17">
        <v>0</v>
      </c>
      <c r="BL13" s="19">
        <f t="shared" si="22"/>
        <v>0</v>
      </c>
      <c r="BM13" s="19">
        <f t="shared" si="23"/>
        <v>0</v>
      </c>
      <c r="BN13" s="19">
        <f t="shared" si="24"/>
        <v>0</v>
      </c>
      <c r="BO13" s="19">
        <f t="shared" si="25"/>
        <v>0</v>
      </c>
      <c r="BP13" s="82">
        <f t="shared" si="26"/>
        <v>0</v>
      </c>
      <c r="BQ13" s="17">
        <v>0</v>
      </c>
      <c r="BR13" s="17"/>
      <c r="BS13" s="17">
        <v>0</v>
      </c>
      <c r="BT13" s="17"/>
      <c r="BU13" s="17">
        <v>0</v>
      </c>
      <c r="BV13" s="19">
        <f t="shared" si="27"/>
        <v>0</v>
      </c>
      <c r="BW13" s="19">
        <f t="shared" si="28"/>
        <v>0</v>
      </c>
      <c r="BX13" s="19">
        <f t="shared" si="29"/>
        <v>0</v>
      </c>
      <c r="BY13" s="19">
        <f t="shared" si="30"/>
        <v>0</v>
      </c>
      <c r="BZ13" s="19">
        <f t="shared" si="30"/>
        <v>0</v>
      </c>
    </row>
    <row r="14" spans="1:78" ht="12.75">
      <c r="A14" s="14">
        <v>8900004328</v>
      </c>
      <c r="B14" s="14">
        <v>890000432</v>
      </c>
      <c r="C14" s="14">
        <v>126663000</v>
      </c>
      <c r="D14" s="15" t="s">
        <v>20</v>
      </c>
      <c r="E14" s="16" t="s">
        <v>21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64">
        <v>56401527</v>
      </c>
      <c r="AF14" s="17">
        <v>0</v>
      </c>
      <c r="AG14" s="17"/>
      <c r="AH14" s="18"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  <c r="AN14" s="17">
        <v>0</v>
      </c>
      <c r="AO14" s="17">
        <v>391047132.5</v>
      </c>
      <c r="AP14" s="18">
        <v>5213961762</v>
      </c>
      <c r="AQ14" s="18">
        <v>2159801464</v>
      </c>
      <c r="AR14" s="18">
        <v>605373434</v>
      </c>
      <c r="AS14" s="18"/>
      <c r="AT14" s="18">
        <v>383506088</v>
      </c>
      <c r="AU14" s="19">
        <f t="shared" si="14"/>
        <v>0</v>
      </c>
      <c r="AV14" s="19">
        <f t="shared" si="15"/>
        <v>391047132.5</v>
      </c>
      <c r="AW14" s="19">
        <f t="shared" si="16"/>
        <v>23942086671.666668</v>
      </c>
      <c r="AX14" s="19">
        <f t="shared" si="17"/>
        <v>439907615</v>
      </c>
      <c r="AY14" s="17">
        <v>0</v>
      </c>
      <c r="AZ14" s="17"/>
      <c r="BA14" s="17">
        <v>2606980881</v>
      </c>
      <c r="BB14" s="17"/>
      <c r="BC14" s="19">
        <f t="shared" si="18"/>
        <v>0</v>
      </c>
      <c r="BD14" s="19">
        <f t="shared" si="19"/>
        <v>391047132.5</v>
      </c>
      <c r="BE14" s="19">
        <f t="shared" si="20"/>
        <v>26549067552.666668</v>
      </c>
      <c r="BF14" s="19">
        <f t="shared" si="21"/>
        <v>439907615</v>
      </c>
      <c r="BG14" s="17">
        <v>0</v>
      </c>
      <c r="BH14" s="17"/>
      <c r="BI14" s="17">
        <v>2606980881</v>
      </c>
      <c r="BJ14" s="17"/>
      <c r="BK14" s="17">
        <v>147475264</v>
      </c>
      <c r="BL14" s="19">
        <f t="shared" si="22"/>
        <v>0</v>
      </c>
      <c r="BM14" s="19">
        <f t="shared" si="23"/>
        <v>391047132.5</v>
      </c>
      <c r="BN14" s="19">
        <f t="shared" si="24"/>
        <v>29156048433.666668</v>
      </c>
      <c r="BO14" s="19">
        <f t="shared" si="25"/>
        <v>439907615</v>
      </c>
      <c r="BP14" s="82">
        <f t="shared" si="26"/>
        <v>147475264</v>
      </c>
      <c r="BQ14" s="17">
        <v>0</v>
      </c>
      <c r="BR14" s="17"/>
      <c r="BS14" s="17">
        <v>3190851019</v>
      </c>
      <c r="BT14" s="17"/>
      <c r="BU14" s="17">
        <v>63817021</v>
      </c>
      <c r="BV14" s="19">
        <f t="shared" si="27"/>
        <v>0</v>
      </c>
      <c r="BW14" s="19">
        <f t="shared" si="28"/>
        <v>391047132.5</v>
      </c>
      <c r="BX14" s="19">
        <f t="shared" si="29"/>
        <v>32346899452.666668</v>
      </c>
      <c r="BY14" s="19">
        <f t="shared" si="30"/>
        <v>439907615</v>
      </c>
      <c r="BZ14" s="19">
        <f t="shared" si="30"/>
        <v>211292285</v>
      </c>
    </row>
    <row r="15" spans="1:78" ht="12.75">
      <c r="A15" s="14">
        <v>8901022573</v>
      </c>
      <c r="B15" s="14">
        <v>890102257</v>
      </c>
      <c r="C15" s="14">
        <v>121708000</v>
      </c>
      <c r="D15" s="15" t="s">
        <v>22</v>
      </c>
      <c r="E15" s="16" t="s">
        <v>23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64">
        <v>114299455</v>
      </c>
      <c r="AF15" s="17">
        <v>0</v>
      </c>
      <c r="AG15" s="17"/>
      <c r="AH15" s="18"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  <c r="AN15" s="17">
        <v>0</v>
      </c>
      <c r="AO15" s="17">
        <v>857245914</v>
      </c>
      <c r="AP15" s="18">
        <v>11429945516</v>
      </c>
      <c r="AQ15" s="18">
        <v>1736804682</v>
      </c>
      <c r="AR15" s="18">
        <v>47655566</v>
      </c>
      <c r="AS15" s="18"/>
      <c r="AT15" s="18">
        <v>806979372</v>
      </c>
      <c r="AU15" s="19">
        <f t="shared" si="14"/>
        <v>0</v>
      </c>
      <c r="AV15" s="19">
        <f t="shared" si="15"/>
        <v>857245914</v>
      </c>
      <c r="AW15" s="19">
        <f t="shared" si="16"/>
        <v>47800746112.666664</v>
      </c>
      <c r="AX15" s="19">
        <f t="shared" si="17"/>
        <v>921278827</v>
      </c>
      <c r="AY15" s="17">
        <v>0</v>
      </c>
      <c r="AZ15" s="17"/>
      <c r="BA15" s="17">
        <v>5714972758</v>
      </c>
      <c r="BB15" s="17"/>
      <c r="BC15" s="19">
        <f t="shared" si="18"/>
        <v>0</v>
      </c>
      <c r="BD15" s="19">
        <f t="shared" si="19"/>
        <v>857245914</v>
      </c>
      <c r="BE15" s="19">
        <f t="shared" si="20"/>
        <v>53515718870.666664</v>
      </c>
      <c r="BF15" s="19">
        <f t="shared" si="21"/>
        <v>921278827</v>
      </c>
      <c r="BG15" s="17">
        <v>0</v>
      </c>
      <c r="BH15" s="17"/>
      <c r="BI15" s="17">
        <v>5714972758</v>
      </c>
      <c r="BJ15" s="17"/>
      <c r="BK15" s="17">
        <v>263335004</v>
      </c>
      <c r="BL15" s="19">
        <f t="shared" si="22"/>
        <v>0</v>
      </c>
      <c r="BM15" s="19">
        <f t="shared" si="23"/>
        <v>857245914</v>
      </c>
      <c r="BN15" s="19">
        <f t="shared" si="24"/>
        <v>59230691628.666664</v>
      </c>
      <c r="BO15" s="19">
        <f t="shared" si="25"/>
        <v>921278827</v>
      </c>
      <c r="BP15" s="82">
        <f t="shared" si="26"/>
        <v>263335004</v>
      </c>
      <c r="BQ15" s="17">
        <v>0</v>
      </c>
      <c r="BR15" s="17"/>
      <c r="BS15" s="17">
        <v>6954696907</v>
      </c>
      <c r="BT15" s="17"/>
      <c r="BU15" s="17">
        <v>139093938</v>
      </c>
      <c r="BV15" s="19">
        <f t="shared" si="27"/>
        <v>0</v>
      </c>
      <c r="BW15" s="19">
        <f t="shared" si="28"/>
        <v>857245914</v>
      </c>
      <c r="BX15" s="19">
        <f t="shared" si="29"/>
        <v>66185388535.666664</v>
      </c>
      <c r="BY15" s="19">
        <f t="shared" si="30"/>
        <v>921278827</v>
      </c>
      <c r="BZ15" s="19">
        <f t="shared" si="30"/>
        <v>402428942</v>
      </c>
    </row>
    <row r="16" spans="1:78" ht="12.75">
      <c r="A16" s="14">
        <v>8902012134</v>
      </c>
      <c r="B16" s="14">
        <v>890201213</v>
      </c>
      <c r="C16" s="14">
        <v>128868000</v>
      </c>
      <c r="D16" s="15" t="s">
        <v>24</v>
      </c>
      <c r="E16" s="16" t="s">
        <v>25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64">
        <v>119561479</v>
      </c>
      <c r="AF16" s="17">
        <v>0</v>
      </c>
      <c r="AG16" s="17"/>
      <c r="AH16" s="18"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  <c r="AN16" s="17">
        <v>0</v>
      </c>
      <c r="AO16" s="17">
        <v>896711089</v>
      </c>
      <c r="AP16" s="18">
        <v>11956147852</v>
      </c>
      <c r="AQ16" s="18">
        <v>1763590752</v>
      </c>
      <c r="AR16" s="18">
        <v>444664424</v>
      </c>
      <c r="AS16" s="18"/>
      <c r="AT16" s="18">
        <v>853196005</v>
      </c>
      <c r="AU16" s="19">
        <f t="shared" si="14"/>
        <v>0</v>
      </c>
      <c r="AV16" s="19">
        <f t="shared" si="15"/>
        <v>896711089</v>
      </c>
      <c r="AW16" s="19">
        <f t="shared" si="16"/>
        <v>50401464868.933334</v>
      </c>
      <c r="AX16" s="19">
        <f t="shared" si="17"/>
        <v>972757484</v>
      </c>
      <c r="AY16" s="17">
        <v>0</v>
      </c>
      <c r="AZ16" s="17"/>
      <c r="BA16" s="17">
        <v>5978073926</v>
      </c>
      <c r="BB16" s="17"/>
      <c r="BC16" s="19">
        <f t="shared" si="18"/>
        <v>0</v>
      </c>
      <c r="BD16" s="19">
        <f t="shared" si="19"/>
        <v>896711089</v>
      </c>
      <c r="BE16" s="19">
        <f t="shared" si="20"/>
        <v>56379538794.933334</v>
      </c>
      <c r="BF16" s="19">
        <f t="shared" si="21"/>
        <v>972757484</v>
      </c>
      <c r="BG16" s="17">
        <v>0</v>
      </c>
      <c r="BH16" s="17"/>
      <c r="BI16" s="17">
        <v>5978073926</v>
      </c>
      <c r="BJ16" s="17"/>
      <c r="BK16" s="17">
        <v>274394773</v>
      </c>
      <c r="BL16" s="19">
        <f t="shared" si="22"/>
        <v>0</v>
      </c>
      <c r="BM16" s="19">
        <f t="shared" si="23"/>
        <v>896711089</v>
      </c>
      <c r="BN16" s="19">
        <f t="shared" si="24"/>
        <v>62357612720.933334</v>
      </c>
      <c r="BO16" s="19">
        <f t="shared" si="25"/>
        <v>972757484</v>
      </c>
      <c r="BP16" s="82">
        <f t="shared" si="26"/>
        <v>274394773</v>
      </c>
      <c r="BQ16" s="17">
        <v>0</v>
      </c>
      <c r="BR16" s="17"/>
      <c r="BS16" s="17">
        <v>7273400790</v>
      </c>
      <c r="BT16" s="17"/>
      <c r="BU16" s="17">
        <v>145468016</v>
      </c>
      <c r="BV16" s="19">
        <f t="shared" si="27"/>
        <v>0</v>
      </c>
      <c r="BW16" s="19">
        <f t="shared" si="28"/>
        <v>896711089</v>
      </c>
      <c r="BX16" s="19">
        <f t="shared" si="29"/>
        <v>69631013510.93333</v>
      </c>
      <c r="BY16" s="19">
        <f t="shared" si="30"/>
        <v>972757484</v>
      </c>
      <c r="BZ16" s="19">
        <f t="shared" si="30"/>
        <v>419862789</v>
      </c>
    </row>
    <row r="17" spans="1:78" ht="12.75">
      <c r="A17" s="14">
        <v>8903990106</v>
      </c>
      <c r="B17" s="14">
        <v>890399010</v>
      </c>
      <c r="C17" s="14">
        <v>120676000</v>
      </c>
      <c r="D17" s="15" t="s">
        <v>26</v>
      </c>
      <c r="E17" s="22" t="s">
        <v>178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64">
        <v>225658305</v>
      </c>
      <c r="AF17" s="17">
        <v>0</v>
      </c>
      <c r="AG17" s="17"/>
      <c r="AH17" s="18"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  <c r="AN17" s="17">
        <v>0</v>
      </c>
      <c r="AO17" s="17">
        <v>1692437286.5</v>
      </c>
      <c r="AP17" s="18">
        <v>22565830484</v>
      </c>
      <c r="AQ17" s="18">
        <v>3102561336</v>
      </c>
      <c r="AR17" s="18">
        <v>797443862</v>
      </c>
      <c r="AS17" s="18"/>
      <c r="AT17" s="18">
        <v>1603090019</v>
      </c>
      <c r="AU17" s="19">
        <f t="shared" si="14"/>
        <v>0</v>
      </c>
      <c r="AV17" s="19">
        <f t="shared" si="15"/>
        <v>1692437286.5</v>
      </c>
      <c r="AW17" s="19">
        <f t="shared" si="16"/>
        <v>94539977496.26666</v>
      </c>
      <c r="AX17" s="19">
        <f t="shared" si="17"/>
        <v>1828748324</v>
      </c>
      <c r="AY17" s="17">
        <v>0</v>
      </c>
      <c r="AZ17" s="17"/>
      <c r="BA17" s="17">
        <v>11282915242</v>
      </c>
      <c r="BB17" s="17"/>
      <c r="BC17" s="19">
        <f t="shared" si="18"/>
        <v>0</v>
      </c>
      <c r="BD17" s="19">
        <f t="shared" si="19"/>
        <v>1692437286.5</v>
      </c>
      <c r="BE17" s="19">
        <f t="shared" si="20"/>
        <v>105822892738.26666</v>
      </c>
      <c r="BF17" s="19">
        <f t="shared" si="21"/>
        <v>1828748324</v>
      </c>
      <c r="BG17" s="17">
        <v>0</v>
      </c>
      <c r="BH17" s="17"/>
      <c r="BI17" s="17">
        <v>11282915242</v>
      </c>
      <c r="BJ17" s="17"/>
      <c r="BK17" s="17">
        <v>513367837</v>
      </c>
      <c r="BL17" s="19">
        <f t="shared" si="22"/>
        <v>0</v>
      </c>
      <c r="BM17" s="19">
        <f t="shared" si="23"/>
        <v>1692437286.5</v>
      </c>
      <c r="BN17" s="19">
        <f t="shared" si="24"/>
        <v>117105807980.26666</v>
      </c>
      <c r="BO17" s="19">
        <f t="shared" si="25"/>
        <v>1828748324</v>
      </c>
      <c r="BP17" s="82">
        <f t="shared" si="26"/>
        <v>513367837</v>
      </c>
      <c r="BQ17" s="17">
        <v>0</v>
      </c>
      <c r="BR17" s="17"/>
      <c r="BS17" s="17">
        <v>13670136840</v>
      </c>
      <c r="BT17" s="17"/>
      <c r="BU17" s="17">
        <v>273402737</v>
      </c>
      <c r="BV17" s="19">
        <f t="shared" si="27"/>
        <v>0</v>
      </c>
      <c r="BW17" s="19">
        <f t="shared" si="28"/>
        <v>1692437286.5</v>
      </c>
      <c r="BX17" s="19">
        <f t="shared" si="29"/>
        <v>130775944820.26666</v>
      </c>
      <c r="BY17" s="19">
        <f t="shared" si="30"/>
        <v>1828748324</v>
      </c>
      <c r="BZ17" s="19">
        <f t="shared" si="30"/>
        <v>786770574</v>
      </c>
    </row>
    <row r="18" spans="1:78" ht="12.75">
      <c r="A18" s="14">
        <v>8904801235</v>
      </c>
      <c r="B18" s="14">
        <v>890480123</v>
      </c>
      <c r="C18" s="14">
        <v>122613000</v>
      </c>
      <c r="D18" s="15" t="s">
        <v>27</v>
      </c>
      <c r="E18" s="16" t="s">
        <v>28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64">
        <v>79517398</v>
      </c>
      <c r="AF18" s="17">
        <v>0</v>
      </c>
      <c r="AG18" s="17"/>
      <c r="AH18" s="18"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  <c r="AN18" s="17">
        <v>0</v>
      </c>
      <c r="AO18" s="17">
        <v>596380486.5</v>
      </c>
      <c r="AP18" s="18">
        <v>7951739822</v>
      </c>
      <c r="AQ18" s="18">
        <v>1348743135</v>
      </c>
      <c r="AR18" s="18">
        <v>387476478</v>
      </c>
      <c r="AS18" s="18"/>
      <c r="AT18" s="18">
        <v>572343499</v>
      </c>
      <c r="AU18" s="19">
        <f t="shared" si="14"/>
        <v>0</v>
      </c>
      <c r="AV18" s="19">
        <f t="shared" si="15"/>
        <v>596380486.5</v>
      </c>
      <c r="AW18" s="19">
        <f t="shared" si="16"/>
        <v>33941788044.666668</v>
      </c>
      <c r="AX18" s="19">
        <f t="shared" si="17"/>
        <v>651860897</v>
      </c>
      <c r="AY18" s="17">
        <v>0</v>
      </c>
      <c r="AZ18" s="17"/>
      <c r="BA18" s="17">
        <v>3975869911</v>
      </c>
      <c r="BB18" s="17"/>
      <c r="BC18" s="19">
        <f t="shared" si="18"/>
        <v>0</v>
      </c>
      <c r="BD18" s="19">
        <f t="shared" si="19"/>
        <v>596380486.5</v>
      </c>
      <c r="BE18" s="19">
        <f t="shared" si="20"/>
        <v>37917657955.66667</v>
      </c>
      <c r="BF18" s="19">
        <f t="shared" si="21"/>
        <v>651860897</v>
      </c>
      <c r="BG18" s="17">
        <v>0</v>
      </c>
      <c r="BH18" s="17"/>
      <c r="BI18" s="17">
        <v>3975869911</v>
      </c>
      <c r="BJ18" s="17"/>
      <c r="BK18" s="17">
        <v>186009659</v>
      </c>
      <c r="BL18" s="19">
        <f t="shared" si="22"/>
        <v>0</v>
      </c>
      <c r="BM18" s="19">
        <f t="shared" si="23"/>
        <v>596380486.5</v>
      </c>
      <c r="BN18" s="19">
        <f t="shared" si="24"/>
        <v>41893527866.66667</v>
      </c>
      <c r="BO18" s="19">
        <f t="shared" si="25"/>
        <v>651860897</v>
      </c>
      <c r="BP18" s="82">
        <f t="shared" si="26"/>
        <v>186009659</v>
      </c>
      <c r="BQ18" s="17">
        <v>0</v>
      </c>
      <c r="BR18" s="17"/>
      <c r="BS18" s="17">
        <v>4867615999</v>
      </c>
      <c r="BT18" s="17"/>
      <c r="BU18" s="17">
        <v>97352320</v>
      </c>
      <c r="BV18" s="19">
        <f t="shared" si="27"/>
        <v>0</v>
      </c>
      <c r="BW18" s="19">
        <f t="shared" si="28"/>
        <v>596380486.5</v>
      </c>
      <c r="BX18" s="19">
        <f t="shared" si="29"/>
        <v>46761143865.66667</v>
      </c>
      <c r="BY18" s="19">
        <f t="shared" si="30"/>
        <v>651860897</v>
      </c>
      <c r="BZ18" s="19">
        <f t="shared" si="30"/>
        <v>283361979</v>
      </c>
    </row>
    <row r="19" spans="1:78" ht="12.75">
      <c r="A19" s="14">
        <v>8905006226</v>
      </c>
      <c r="B19" s="14">
        <v>890500622</v>
      </c>
      <c r="C19" s="14">
        <v>125354000</v>
      </c>
      <c r="D19" s="15" t="s">
        <v>29</v>
      </c>
      <c r="E19" s="16" t="s">
        <v>30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64">
        <v>34157701</v>
      </c>
      <c r="AF19" s="17">
        <v>0</v>
      </c>
      <c r="AG19" s="17"/>
      <c r="AH19" s="18"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  <c r="AN19" s="17">
        <v>0</v>
      </c>
      <c r="AO19" s="17">
        <v>256182756</v>
      </c>
      <c r="AP19" s="18">
        <v>3415770078</v>
      </c>
      <c r="AQ19" s="18">
        <v>2038524375</v>
      </c>
      <c r="AR19" s="18">
        <v>406751980</v>
      </c>
      <c r="AS19" s="18"/>
      <c r="AT19" s="18">
        <v>253290396</v>
      </c>
      <c r="AU19" s="19">
        <f t="shared" si="14"/>
        <v>0</v>
      </c>
      <c r="AV19" s="19">
        <f t="shared" si="15"/>
        <v>256182756</v>
      </c>
      <c r="AW19" s="19">
        <f t="shared" si="16"/>
        <v>16410929115.666666</v>
      </c>
      <c r="AX19" s="19">
        <f t="shared" si="17"/>
        <v>287448097</v>
      </c>
      <c r="AY19" s="17">
        <v>0</v>
      </c>
      <c r="AZ19" s="17"/>
      <c r="BA19" s="17">
        <v>1707885039</v>
      </c>
      <c r="BB19" s="17"/>
      <c r="BC19" s="19">
        <f t="shared" si="18"/>
        <v>0</v>
      </c>
      <c r="BD19" s="19">
        <f t="shared" si="19"/>
        <v>256182756</v>
      </c>
      <c r="BE19" s="19">
        <f t="shared" si="20"/>
        <v>18118814154.666664</v>
      </c>
      <c r="BF19" s="19">
        <f t="shared" si="21"/>
        <v>287448097</v>
      </c>
      <c r="BG19" s="17">
        <v>0</v>
      </c>
      <c r="BH19" s="17"/>
      <c r="BI19" s="17">
        <v>1707885039</v>
      </c>
      <c r="BJ19" s="17"/>
      <c r="BK19" s="17">
        <v>109085890</v>
      </c>
      <c r="BL19" s="19">
        <f t="shared" si="22"/>
        <v>0</v>
      </c>
      <c r="BM19" s="19">
        <f t="shared" si="23"/>
        <v>256182756</v>
      </c>
      <c r="BN19" s="19">
        <f t="shared" si="24"/>
        <v>19826699193.666664</v>
      </c>
      <c r="BO19" s="19">
        <f t="shared" si="25"/>
        <v>287448097</v>
      </c>
      <c r="BP19" s="82">
        <f t="shared" si="26"/>
        <v>109085890</v>
      </c>
      <c r="BQ19" s="17">
        <v>0</v>
      </c>
      <c r="BR19" s="17"/>
      <c r="BS19" s="17">
        <v>2100535293</v>
      </c>
      <c r="BT19" s="17"/>
      <c r="BU19" s="17">
        <v>42010707</v>
      </c>
      <c r="BV19" s="19">
        <f t="shared" si="27"/>
        <v>0</v>
      </c>
      <c r="BW19" s="19">
        <f t="shared" si="28"/>
        <v>256182756</v>
      </c>
      <c r="BX19" s="19">
        <f t="shared" si="29"/>
        <v>21927234486.666664</v>
      </c>
      <c r="BY19" s="19">
        <f t="shared" si="30"/>
        <v>287448097</v>
      </c>
      <c r="BZ19" s="19">
        <f t="shared" si="30"/>
        <v>151096597</v>
      </c>
    </row>
    <row r="20" spans="1:78" ht="12.75">
      <c r="A20" s="14">
        <v>8905015104</v>
      </c>
      <c r="B20" s="14">
        <v>890501510</v>
      </c>
      <c r="C20" s="14">
        <v>125454000</v>
      </c>
      <c r="D20" s="15" t="s">
        <v>31</v>
      </c>
      <c r="E20" s="16" t="s">
        <v>32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64">
        <v>42479708</v>
      </c>
      <c r="AF20" s="17">
        <v>0</v>
      </c>
      <c r="AG20" s="17"/>
      <c r="AH20" s="18"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  <c r="AN20" s="17">
        <v>0</v>
      </c>
      <c r="AO20" s="17">
        <v>293439620</v>
      </c>
      <c r="AP20" s="18">
        <v>3912528266</v>
      </c>
      <c r="AQ20" s="18">
        <v>1798066006</v>
      </c>
      <c r="AR20" s="18">
        <v>1182989493</v>
      </c>
      <c r="AS20" s="18"/>
      <c r="AT20" s="18">
        <v>302590783</v>
      </c>
      <c r="AU20" s="19">
        <f t="shared" si="14"/>
        <v>0</v>
      </c>
      <c r="AV20" s="19">
        <f t="shared" si="15"/>
        <v>293439620</v>
      </c>
      <c r="AW20" s="19">
        <f t="shared" si="16"/>
        <v>18883869274.86667</v>
      </c>
      <c r="AX20" s="19">
        <f t="shared" si="17"/>
        <v>345070491</v>
      </c>
      <c r="AY20" s="17">
        <v>0</v>
      </c>
      <c r="AZ20" s="17"/>
      <c r="BA20" s="17">
        <v>1956264133</v>
      </c>
      <c r="BB20" s="17"/>
      <c r="BC20" s="19">
        <f t="shared" si="18"/>
        <v>0</v>
      </c>
      <c r="BD20" s="19">
        <f t="shared" si="19"/>
        <v>293439620</v>
      </c>
      <c r="BE20" s="19">
        <f t="shared" si="20"/>
        <v>20840133407.86667</v>
      </c>
      <c r="BF20" s="19">
        <f t="shared" si="21"/>
        <v>345070491</v>
      </c>
      <c r="BG20" s="17">
        <v>0</v>
      </c>
      <c r="BH20" s="17"/>
      <c r="BI20" s="17">
        <v>1956264133</v>
      </c>
      <c r="BJ20" s="17"/>
      <c r="BK20" s="17">
        <v>114211886</v>
      </c>
      <c r="BL20" s="19">
        <f t="shared" si="22"/>
        <v>0</v>
      </c>
      <c r="BM20" s="19">
        <f t="shared" si="23"/>
        <v>293439620</v>
      </c>
      <c r="BN20" s="19">
        <f t="shared" si="24"/>
        <v>22796397540.86667</v>
      </c>
      <c r="BO20" s="19">
        <f t="shared" si="25"/>
        <v>345070491</v>
      </c>
      <c r="BP20" s="82">
        <f t="shared" si="26"/>
        <v>114211886</v>
      </c>
      <c r="BQ20" s="17">
        <v>0</v>
      </c>
      <c r="BR20" s="17"/>
      <c r="BS20" s="17">
        <v>2385257377</v>
      </c>
      <c r="BT20" s="17"/>
      <c r="BU20" s="17">
        <v>47705148</v>
      </c>
      <c r="BV20" s="19">
        <f t="shared" si="27"/>
        <v>0</v>
      </c>
      <c r="BW20" s="19">
        <f t="shared" si="28"/>
        <v>293439620</v>
      </c>
      <c r="BX20" s="19">
        <f t="shared" si="29"/>
        <v>25181654917.86667</v>
      </c>
      <c r="BY20" s="19">
        <f t="shared" si="30"/>
        <v>345070491</v>
      </c>
      <c r="BZ20" s="19">
        <f t="shared" si="30"/>
        <v>161917034</v>
      </c>
    </row>
    <row r="21" spans="1:78" ht="12.75">
      <c r="A21" s="14">
        <v>8906800622</v>
      </c>
      <c r="B21" s="14">
        <v>890680062</v>
      </c>
      <c r="C21" s="14">
        <v>127625000</v>
      </c>
      <c r="D21" s="15" t="s">
        <v>33</v>
      </c>
      <c r="E21" s="16" t="s">
        <v>34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64">
        <v>16939190</v>
      </c>
      <c r="AF21" s="17">
        <v>0</v>
      </c>
      <c r="AG21" s="17"/>
      <c r="AH21" s="18"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  <c r="AN21" s="17">
        <v>0</v>
      </c>
      <c r="AO21" s="17">
        <v>100113901.5</v>
      </c>
      <c r="AP21" s="18">
        <v>1334852020</v>
      </c>
      <c r="AQ21" s="18">
        <v>1810523831</v>
      </c>
      <c r="AR21" s="18">
        <v>721723233</v>
      </c>
      <c r="AS21" s="18"/>
      <c r="AT21" s="18">
        <v>113284063</v>
      </c>
      <c r="AU21" s="19">
        <f t="shared" si="14"/>
        <v>0</v>
      </c>
      <c r="AV21" s="19">
        <f t="shared" si="15"/>
        <v>100113901.5</v>
      </c>
      <c r="AW21" s="19">
        <f t="shared" si="16"/>
        <v>8142153044.133333</v>
      </c>
      <c r="AX21" s="19">
        <f t="shared" si="17"/>
        <v>130223253</v>
      </c>
      <c r="AY21" s="17">
        <v>0</v>
      </c>
      <c r="AZ21" s="17"/>
      <c r="BA21" s="17">
        <v>667426010</v>
      </c>
      <c r="BB21" s="17"/>
      <c r="BC21" s="19">
        <f t="shared" si="18"/>
        <v>0</v>
      </c>
      <c r="BD21" s="19">
        <f t="shared" si="19"/>
        <v>100113901.5</v>
      </c>
      <c r="BE21" s="19">
        <f t="shared" si="20"/>
        <v>8809579054.133333</v>
      </c>
      <c r="BF21" s="19">
        <f t="shared" si="21"/>
        <v>130223253</v>
      </c>
      <c r="BG21" s="17">
        <v>0</v>
      </c>
      <c r="BH21" s="17"/>
      <c r="BI21" s="17">
        <v>667426010</v>
      </c>
      <c r="BJ21" s="17"/>
      <c r="BK21" s="17">
        <v>62907517</v>
      </c>
      <c r="BL21" s="19">
        <f t="shared" si="22"/>
        <v>0</v>
      </c>
      <c r="BM21" s="19">
        <f t="shared" si="23"/>
        <v>100113901.5</v>
      </c>
      <c r="BN21" s="19">
        <f t="shared" si="24"/>
        <v>9477005064.133333</v>
      </c>
      <c r="BO21" s="19">
        <f t="shared" si="25"/>
        <v>130223253</v>
      </c>
      <c r="BP21" s="82">
        <f t="shared" si="26"/>
        <v>62907517</v>
      </c>
      <c r="BQ21" s="17">
        <v>0</v>
      </c>
      <c r="BR21" s="17"/>
      <c r="BS21" s="17">
        <v>837646201</v>
      </c>
      <c r="BT21" s="17"/>
      <c r="BU21" s="17">
        <v>16752923</v>
      </c>
      <c r="BV21" s="19">
        <f t="shared" si="27"/>
        <v>0</v>
      </c>
      <c r="BW21" s="19">
        <f t="shared" si="28"/>
        <v>100113901.5</v>
      </c>
      <c r="BX21" s="19">
        <f t="shared" si="29"/>
        <v>10314651265.133333</v>
      </c>
      <c r="BY21" s="19">
        <f t="shared" si="30"/>
        <v>130223253</v>
      </c>
      <c r="BZ21" s="19">
        <f t="shared" si="30"/>
        <v>79660440</v>
      </c>
    </row>
    <row r="22" spans="1:78" ht="12.75">
      <c r="A22" s="14">
        <v>8907006407</v>
      </c>
      <c r="B22" s="14">
        <v>890700640</v>
      </c>
      <c r="C22" s="14">
        <v>129373000</v>
      </c>
      <c r="D22" s="15" t="s">
        <v>35</v>
      </c>
      <c r="E22" s="22" t="s">
        <v>98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64">
        <v>45693299</v>
      </c>
      <c r="AF22" s="17">
        <v>0</v>
      </c>
      <c r="AG22" s="17"/>
      <c r="AH22" s="18"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  <c r="AN22" s="17">
        <v>0</v>
      </c>
      <c r="AO22" s="17">
        <v>342698995</v>
      </c>
      <c r="AP22" s="18">
        <v>4569329930</v>
      </c>
      <c r="AQ22" s="18">
        <v>2210037542</v>
      </c>
      <c r="AR22" s="18">
        <v>1617793252</v>
      </c>
      <c r="AS22" s="18"/>
      <c r="AT22" s="18">
        <v>358536082</v>
      </c>
      <c r="AU22" s="19">
        <f t="shared" si="14"/>
        <v>0</v>
      </c>
      <c r="AV22" s="19">
        <f t="shared" si="15"/>
        <v>342698995</v>
      </c>
      <c r="AW22" s="19">
        <f t="shared" si="16"/>
        <v>22421501613</v>
      </c>
      <c r="AX22" s="19">
        <f t="shared" si="17"/>
        <v>404229381</v>
      </c>
      <c r="AY22" s="17">
        <v>0</v>
      </c>
      <c r="AZ22" s="17"/>
      <c r="BA22" s="17">
        <v>2284664965</v>
      </c>
      <c r="BB22" s="17"/>
      <c r="BC22" s="19">
        <f t="shared" si="18"/>
        <v>0</v>
      </c>
      <c r="BD22" s="19">
        <f t="shared" si="19"/>
        <v>342698995</v>
      </c>
      <c r="BE22" s="19">
        <f t="shared" si="20"/>
        <v>24706166578</v>
      </c>
      <c r="BF22" s="19">
        <f t="shared" si="21"/>
        <v>404229381</v>
      </c>
      <c r="BG22" s="17">
        <v>0</v>
      </c>
      <c r="BH22" s="17"/>
      <c r="BI22" s="17">
        <v>2284664965</v>
      </c>
      <c r="BJ22" s="17"/>
      <c r="BK22" s="17">
        <v>135587349</v>
      </c>
      <c r="BL22" s="19">
        <f t="shared" si="22"/>
        <v>0</v>
      </c>
      <c r="BM22" s="19">
        <f t="shared" si="23"/>
        <v>342698995</v>
      </c>
      <c r="BN22" s="19">
        <f t="shared" si="24"/>
        <v>26990831543</v>
      </c>
      <c r="BO22" s="19">
        <f t="shared" si="25"/>
        <v>404229381</v>
      </c>
      <c r="BP22" s="82">
        <f t="shared" si="26"/>
        <v>135587349</v>
      </c>
      <c r="BQ22" s="17">
        <v>0</v>
      </c>
      <c r="BR22" s="17"/>
      <c r="BS22" s="17">
        <v>2798300966</v>
      </c>
      <c r="BT22" s="17"/>
      <c r="BU22" s="17">
        <v>55966019</v>
      </c>
      <c r="BV22" s="19">
        <f t="shared" si="27"/>
        <v>0</v>
      </c>
      <c r="BW22" s="19">
        <f t="shared" si="28"/>
        <v>342698995</v>
      </c>
      <c r="BX22" s="19">
        <f t="shared" si="29"/>
        <v>29789132509</v>
      </c>
      <c r="BY22" s="19">
        <f t="shared" si="30"/>
        <v>404229381</v>
      </c>
      <c r="BZ22" s="19">
        <f t="shared" si="30"/>
        <v>191553368</v>
      </c>
    </row>
    <row r="23" spans="1:79" ht="12.75">
      <c r="A23" s="14">
        <v>8907009060</v>
      </c>
      <c r="B23" s="14">
        <v>890700906</v>
      </c>
      <c r="C23" s="14">
        <v>128873000</v>
      </c>
      <c r="D23" s="15" t="s">
        <v>36</v>
      </c>
      <c r="E23" s="16" t="s">
        <v>37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64">
        <v>0</v>
      </c>
      <c r="AF23" s="17">
        <v>0</v>
      </c>
      <c r="AG23" s="17"/>
      <c r="AH23" s="18"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  <c r="AN23" s="17">
        <v>0</v>
      </c>
      <c r="AO23" s="17">
        <v>0</v>
      </c>
      <c r="AP23" s="18">
        <v>63845174</v>
      </c>
      <c r="AQ23" s="18">
        <v>0</v>
      </c>
      <c r="AR23" s="18">
        <v>0</v>
      </c>
      <c r="AS23" s="18"/>
      <c r="AT23" s="18">
        <v>0</v>
      </c>
      <c r="AU23" s="19">
        <f t="shared" si="14"/>
        <v>0</v>
      </c>
      <c r="AV23" s="19">
        <f t="shared" si="15"/>
        <v>0</v>
      </c>
      <c r="AW23" s="19">
        <f t="shared" si="16"/>
        <v>383071044</v>
      </c>
      <c r="AX23" s="19">
        <f t="shared" si="17"/>
        <v>0</v>
      </c>
      <c r="AY23" s="17">
        <v>0</v>
      </c>
      <c r="AZ23" s="17"/>
      <c r="BA23" s="17">
        <v>63845174</v>
      </c>
      <c r="BB23" s="17"/>
      <c r="BC23" s="19">
        <f t="shared" si="18"/>
        <v>0</v>
      </c>
      <c r="BD23" s="19">
        <f t="shared" si="19"/>
        <v>0</v>
      </c>
      <c r="BE23" s="19">
        <f t="shared" si="20"/>
        <v>446916218</v>
      </c>
      <c r="BF23" s="19">
        <f t="shared" si="21"/>
        <v>0</v>
      </c>
      <c r="BG23" s="17">
        <v>0</v>
      </c>
      <c r="BH23" s="17"/>
      <c r="BI23" s="17">
        <v>63845174</v>
      </c>
      <c r="BJ23" s="17"/>
      <c r="BK23" s="17">
        <v>0</v>
      </c>
      <c r="BL23" s="19">
        <f t="shared" si="22"/>
        <v>0</v>
      </c>
      <c r="BM23" s="19">
        <f t="shared" si="23"/>
        <v>0</v>
      </c>
      <c r="BN23" s="19">
        <f t="shared" si="24"/>
        <v>510761392</v>
      </c>
      <c r="BO23" s="19">
        <f t="shared" si="25"/>
        <v>0</v>
      </c>
      <c r="BP23" s="82">
        <f t="shared" si="26"/>
        <v>0</v>
      </c>
      <c r="BQ23" s="17">
        <v>0</v>
      </c>
      <c r="BR23" s="17"/>
      <c r="BS23" s="17">
        <v>63845174</v>
      </c>
      <c r="BT23" s="17"/>
      <c r="BU23" s="17">
        <v>0</v>
      </c>
      <c r="BV23" s="19">
        <f t="shared" si="27"/>
        <v>0</v>
      </c>
      <c r="BW23" s="19">
        <f t="shared" si="28"/>
        <v>0</v>
      </c>
      <c r="BX23" s="19">
        <f t="shared" si="29"/>
        <v>574606566</v>
      </c>
      <c r="BY23" s="19">
        <f t="shared" si="30"/>
        <v>0</v>
      </c>
      <c r="BZ23" s="19">
        <f t="shared" si="30"/>
        <v>0</v>
      </c>
      <c r="CA23" s="83"/>
    </row>
    <row r="24" spans="1:79" ht="12.75">
      <c r="A24" s="14">
        <v>8908010630</v>
      </c>
      <c r="B24" s="14">
        <v>890801063</v>
      </c>
      <c r="C24" s="14">
        <v>27017000</v>
      </c>
      <c r="D24" s="15" t="s">
        <v>38</v>
      </c>
      <c r="E24" s="16" t="s">
        <v>39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64">
        <v>94323797</v>
      </c>
      <c r="AF24" s="17">
        <v>992908558</v>
      </c>
      <c r="AG24" s="17"/>
      <c r="AH24" s="18"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  <c r="AN24" s="17">
        <v>1985817116</v>
      </c>
      <c r="AO24" s="17">
        <v>737134815.5</v>
      </c>
      <c r="AP24" s="18">
        <v>7446562620</v>
      </c>
      <c r="AQ24" s="18">
        <v>1303649056</v>
      </c>
      <c r="AR24" s="18">
        <v>552722041</v>
      </c>
      <c r="AS24" s="18"/>
      <c r="AT24" s="18">
        <v>716109905</v>
      </c>
      <c r="AU24" s="19">
        <f t="shared" si="14"/>
        <v>6950359906.2</v>
      </c>
      <c r="AV24" s="19">
        <f t="shared" si="15"/>
        <v>3554279985.5</v>
      </c>
      <c r="AW24" s="19">
        <f t="shared" si="16"/>
        <v>32057829243.466667</v>
      </c>
      <c r="AX24" s="19">
        <f t="shared" si="17"/>
        <v>810433702</v>
      </c>
      <c r="AY24" s="17">
        <v>992908558</v>
      </c>
      <c r="AZ24" s="17"/>
      <c r="BA24" s="17">
        <v>3723281310</v>
      </c>
      <c r="BB24" s="17"/>
      <c r="BC24" s="19">
        <f t="shared" si="18"/>
        <v>7943268464.2</v>
      </c>
      <c r="BD24" s="19">
        <f t="shared" si="19"/>
        <v>3554279985.5</v>
      </c>
      <c r="BE24" s="19">
        <f t="shared" si="20"/>
        <v>35781110553.46667</v>
      </c>
      <c r="BF24" s="19">
        <f t="shared" si="21"/>
        <v>810433702</v>
      </c>
      <c r="BG24" s="17">
        <v>992908558</v>
      </c>
      <c r="BH24" s="17"/>
      <c r="BI24" s="17">
        <v>3723281310</v>
      </c>
      <c r="BJ24" s="17"/>
      <c r="BK24" s="17">
        <v>214720575</v>
      </c>
      <c r="BL24" s="19">
        <f t="shared" si="22"/>
        <v>8936177022.2</v>
      </c>
      <c r="BM24" s="19">
        <f t="shared" si="23"/>
        <v>3554279985.5</v>
      </c>
      <c r="BN24" s="19">
        <f t="shared" si="24"/>
        <v>39504391863.46667</v>
      </c>
      <c r="BO24" s="19">
        <f t="shared" si="25"/>
        <v>810433702</v>
      </c>
      <c r="BP24" s="82">
        <f t="shared" si="26"/>
        <v>214720575</v>
      </c>
      <c r="BQ24" s="17">
        <v>992908558</v>
      </c>
      <c r="BR24" s="17"/>
      <c r="BS24" s="17">
        <v>4778697320</v>
      </c>
      <c r="BT24" s="17"/>
      <c r="BU24" s="17">
        <v>115432117</v>
      </c>
      <c r="BV24" s="19">
        <f t="shared" si="27"/>
        <v>9929085580.2</v>
      </c>
      <c r="BW24" s="19">
        <f t="shared" si="28"/>
        <v>3554279985.5</v>
      </c>
      <c r="BX24" s="19">
        <f t="shared" si="29"/>
        <v>44283089183.46667</v>
      </c>
      <c r="BY24" s="19">
        <f t="shared" si="30"/>
        <v>810433702</v>
      </c>
      <c r="BZ24" s="19">
        <f t="shared" si="30"/>
        <v>330152692</v>
      </c>
      <c r="CA24" s="83"/>
    </row>
    <row r="25" spans="1:79" ht="12.75">
      <c r="A25" s="14">
        <v>8908026784</v>
      </c>
      <c r="B25" s="14">
        <v>890802678</v>
      </c>
      <c r="C25" s="14">
        <v>825717000</v>
      </c>
      <c r="D25" s="15" t="s">
        <v>40</v>
      </c>
      <c r="E25" s="16" t="s">
        <v>41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64">
        <v>2563746</v>
      </c>
      <c r="AF25" s="17">
        <v>0</v>
      </c>
      <c r="AG25" s="17"/>
      <c r="AH25" s="18"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  <c r="AN25" s="17">
        <v>0</v>
      </c>
      <c r="AO25" s="17">
        <v>0</v>
      </c>
      <c r="AP25" s="18">
        <v>128187289</v>
      </c>
      <c r="AQ25" s="18">
        <v>0</v>
      </c>
      <c r="AR25" s="18">
        <v>0</v>
      </c>
      <c r="AS25" s="18"/>
      <c r="AT25" s="18">
        <v>0</v>
      </c>
      <c r="AU25" s="19">
        <f t="shared" si="14"/>
        <v>0</v>
      </c>
      <c r="AV25" s="19">
        <f t="shared" si="15"/>
        <v>0</v>
      </c>
      <c r="AW25" s="19">
        <f t="shared" si="16"/>
        <v>769123734</v>
      </c>
      <c r="AX25" s="19">
        <f t="shared" si="17"/>
        <v>2563746</v>
      </c>
      <c r="AY25" s="17">
        <v>0</v>
      </c>
      <c r="AZ25" s="17"/>
      <c r="BA25" s="17">
        <v>128187289</v>
      </c>
      <c r="BB25" s="17"/>
      <c r="BC25" s="19">
        <f t="shared" si="18"/>
        <v>0</v>
      </c>
      <c r="BD25" s="19">
        <f t="shared" si="19"/>
        <v>0</v>
      </c>
      <c r="BE25" s="19">
        <f t="shared" si="20"/>
        <v>897311023</v>
      </c>
      <c r="BF25" s="19">
        <f t="shared" si="21"/>
        <v>2563746</v>
      </c>
      <c r="BG25" s="17">
        <v>0</v>
      </c>
      <c r="BH25" s="17"/>
      <c r="BI25" s="17">
        <v>128187289</v>
      </c>
      <c r="BJ25" s="17"/>
      <c r="BK25" s="17">
        <v>17946222</v>
      </c>
      <c r="BL25" s="19">
        <f t="shared" si="22"/>
        <v>0</v>
      </c>
      <c r="BM25" s="19">
        <f t="shared" si="23"/>
        <v>0</v>
      </c>
      <c r="BN25" s="19">
        <f t="shared" si="24"/>
        <v>1025498312</v>
      </c>
      <c r="BO25" s="19">
        <f t="shared" si="25"/>
        <v>2563746</v>
      </c>
      <c r="BP25" s="82">
        <f t="shared" si="26"/>
        <v>17946222</v>
      </c>
      <c r="BQ25" s="17">
        <v>0</v>
      </c>
      <c r="BR25" s="17"/>
      <c r="BS25" s="17">
        <v>128187289</v>
      </c>
      <c r="BT25" s="17"/>
      <c r="BU25" s="17">
        <v>2563746</v>
      </c>
      <c r="BV25" s="19">
        <f t="shared" si="27"/>
        <v>0</v>
      </c>
      <c r="BW25" s="19">
        <f t="shared" si="28"/>
        <v>0</v>
      </c>
      <c r="BX25" s="19">
        <f t="shared" si="29"/>
        <v>1153685601</v>
      </c>
      <c r="BY25" s="19">
        <f t="shared" si="30"/>
        <v>2563746</v>
      </c>
      <c r="BZ25" s="19">
        <f t="shared" si="30"/>
        <v>20509968</v>
      </c>
      <c r="CA25" s="83"/>
    </row>
    <row r="26" spans="1:79" ht="12.75">
      <c r="A26" s="14">
        <v>8909800408</v>
      </c>
      <c r="B26" s="14">
        <v>890980040</v>
      </c>
      <c r="C26" s="14">
        <v>120205000</v>
      </c>
      <c r="D26" s="15" t="s">
        <v>42</v>
      </c>
      <c r="E26" s="16" t="s">
        <v>101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64">
        <v>300363387</v>
      </c>
      <c r="AF26" s="17">
        <v>0</v>
      </c>
      <c r="AG26" s="17"/>
      <c r="AH26" s="18"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  <c r="AN26" s="17">
        <v>0</v>
      </c>
      <c r="AO26" s="17">
        <v>2252725403</v>
      </c>
      <c r="AP26" s="18">
        <v>30036338710</v>
      </c>
      <c r="AQ26" s="18">
        <v>3991435533</v>
      </c>
      <c r="AR26" s="18">
        <v>976137465</v>
      </c>
      <c r="AS26" s="18"/>
      <c r="AT26" s="18">
        <v>2128876187</v>
      </c>
      <c r="AU26" s="19">
        <f t="shared" si="14"/>
        <v>0</v>
      </c>
      <c r="AV26" s="19">
        <f t="shared" si="15"/>
        <v>2252725403</v>
      </c>
      <c r="AW26" s="19">
        <f t="shared" si="16"/>
        <v>125453414298.86667</v>
      </c>
      <c r="AX26" s="19">
        <f t="shared" si="17"/>
        <v>2429239574</v>
      </c>
      <c r="AY26" s="17">
        <v>0</v>
      </c>
      <c r="AZ26" s="17"/>
      <c r="BA26" s="17">
        <v>15018169355</v>
      </c>
      <c r="BB26" s="17"/>
      <c r="BC26" s="19">
        <f t="shared" si="18"/>
        <v>0</v>
      </c>
      <c r="BD26" s="19">
        <f t="shared" si="19"/>
        <v>2252725403</v>
      </c>
      <c r="BE26" s="19">
        <f t="shared" si="20"/>
        <v>140471583653.86667</v>
      </c>
      <c r="BF26" s="19">
        <f t="shared" si="21"/>
        <v>2429239574</v>
      </c>
      <c r="BG26" s="17">
        <v>0</v>
      </c>
      <c r="BH26" s="17"/>
      <c r="BI26" s="17">
        <v>15018169355</v>
      </c>
      <c r="BJ26" s="17"/>
      <c r="BK26" s="17">
        <v>680555485</v>
      </c>
      <c r="BL26" s="19">
        <f t="shared" si="22"/>
        <v>0</v>
      </c>
      <c r="BM26" s="19">
        <f t="shared" si="23"/>
        <v>2252725403</v>
      </c>
      <c r="BN26" s="19">
        <f t="shared" si="24"/>
        <v>155489753008.86667</v>
      </c>
      <c r="BO26" s="19">
        <f t="shared" si="25"/>
        <v>2429239574</v>
      </c>
      <c r="BP26" s="82">
        <f t="shared" si="26"/>
        <v>680555485</v>
      </c>
      <c r="BQ26" s="17">
        <v>0</v>
      </c>
      <c r="BR26" s="17"/>
      <c r="BS26" s="17">
        <v>18171987704</v>
      </c>
      <c r="BT26" s="17"/>
      <c r="BU26" s="17">
        <v>363439754</v>
      </c>
      <c r="BV26" s="19">
        <f t="shared" si="27"/>
        <v>0</v>
      </c>
      <c r="BW26" s="19">
        <f t="shared" si="28"/>
        <v>2252725403</v>
      </c>
      <c r="BX26" s="19">
        <f t="shared" si="29"/>
        <v>173661740712.86667</v>
      </c>
      <c r="BY26" s="19">
        <f t="shared" si="30"/>
        <v>2429239574</v>
      </c>
      <c r="BZ26" s="19">
        <f t="shared" si="30"/>
        <v>1043995239</v>
      </c>
      <c r="CA26" s="83"/>
    </row>
    <row r="27" spans="1:78" ht="12.75">
      <c r="A27" s="14">
        <v>8909801341</v>
      </c>
      <c r="B27" s="14">
        <v>890980134</v>
      </c>
      <c r="C27" s="14">
        <v>824505000</v>
      </c>
      <c r="D27" s="15" t="s">
        <v>43</v>
      </c>
      <c r="E27" s="16" t="s">
        <v>44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64">
        <v>4173447</v>
      </c>
      <c r="AF27" s="17">
        <v>0</v>
      </c>
      <c r="AG27" s="17"/>
      <c r="AH27" s="18"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  <c r="AN27" s="17">
        <v>0</v>
      </c>
      <c r="AO27" s="17">
        <v>0</v>
      </c>
      <c r="AP27" s="18">
        <v>208672338</v>
      </c>
      <c r="AQ27" s="18">
        <v>0</v>
      </c>
      <c r="AR27" s="18">
        <v>0</v>
      </c>
      <c r="AS27" s="18"/>
      <c r="AT27" s="18">
        <v>0</v>
      </c>
      <c r="AU27" s="19">
        <f t="shared" si="14"/>
        <v>0</v>
      </c>
      <c r="AV27" s="19">
        <f t="shared" si="15"/>
        <v>0</v>
      </c>
      <c r="AW27" s="19">
        <f t="shared" si="16"/>
        <v>1252034028</v>
      </c>
      <c r="AX27" s="19">
        <f t="shared" si="17"/>
        <v>4173447</v>
      </c>
      <c r="AY27" s="17">
        <v>0</v>
      </c>
      <c r="AZ27" s="17"/>
      <c r="BA27" s="17">
        <v>208672338</v>
      </c>
      <c r="BB27" s="17"/>
      <c r="BC27" s="19">
        <f t="shared" si="18"/>
        <v>0</v>
      </c>
      <c r="BD27" s="19">
        <f t="shared" si="19"/>
        <v>0</v>
      </c>
      <c r="BE27" s="19">
        <f t="shared" si="20"/>
        <v>1460706366</v>
      </c>
      <c r="BF27" s="19">
        <f t="shared" si="21"/>
        <v>4173447</v>
      </c>
      <c r="BG27" s="17">
        <v>0</v>
      </c>
      <c r="BH27" s="17"/>
      <c r="BI27" s="17">
        <v>208672338</v>
      </c>
      <c r="BJ27" s="17"/>
      <c r="BK27" s="17">
        <v>29214129</v>
      </c>
      <c r="BL27" s="19">
        <f t="shared" si="22"/>
        <v>0</v>
      </c>
      <c r="BM27" s="19">
        <f t="shared" si="23"/>
        <v>0</v>
      </c>
      <c r="BN27" s="19">
        <f t="shared" si="24"/>
        <v>1669378704</v>
      </c>
      <c r="BO27" s="19">
        <f t="shared" si="25"/>
        <v>4173447</v>
      </c>
      <c r="BP27" s="82">
        <f t="shared" si="26"/>
        <v>29214129</v>
      </c>
      <c r="BQ27" s="17">
        <v>0</v>
      </c>
      <c r="BR27" s="17"/>
      <c r="BS27" s="17">
        <v>208672338</v>
      </c>
      <c r="BT27" s="17"/>
      <c r="BU27" s="17">
        <v>4173447</v>
      </c>
      <c r="BV27" s="19">
        <f t="shared" si="27"/>
        <v>0</v>
      </c>
      <c r="BW27" s="19">
        <f t="shared" si="28"/>
        <v>0</v>
      </c>
      <c r="BX27" s="19">
        <f t="shared" si="29"/>
        <v>1878051042</v>
      </c>
      <c r="BY27" s="19">
        <f t="shared" si="30"/>
        <v>4173447</v>
      </c>
      <c r="BZ27" s="19">
        <f t="shared" si="30"/>
        <v>33387576</v>
      </c>
    </row>
    <row r="28" spans="1:78" ht="12.75">
      <c r="A28" s="14">
        <v>8909801501</v>
      </c>
      <c r="B28" s="14">
        <v>890980150</v>
      </c>
      <c r="C28" s="14">
        <v>824105000</v>
      </c>
      <c r="D28" s="15" t="s">
        <v>45</v>
      </c>
      <c r="E28" s="16" t="s">
        <v>46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64">
        <v>0</v>
      </c>
      <c r="AF28" s="17">
        <v>0</v>
      </c>
      <c r="AG28" s="17"/>
      <c r="AH28" s="18"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  <c r="AN28" s="17">
        <v>0</v>
      </c>
      <c r="AO28" s="17">
        <v>0</v>
      </c>
      <c r="AP28" s="18">
        <v>128354046</v>
      </c>
      <c r="AQ28" s="18">
        <v>0</v>
      </c>
      <c r="AR28" s="18">
        <v>0</v>
      </c>
      <c r="AS28" s="18"/>
      <c r="AT28" s="18">
        <v>0</v>
      </c>
      <c r="AU28" s="19">
        <f t="shared" si="14"/>
        <v>0</v>
      </c>
      <c r="AV28" s="19">
        <f t="shared" si="15"/>
        <v>0</v>
      </c>
      <c r="AW28" s="19">
        <f t="shared" si="16"/>
        <v>770124276</v>
      </c>
      <c r="AX28" s="19">
        <f t="shared" si="17"/>
        <v>0</v>
      </c>
      <c r="AY28" s="17">
        <v>0</v>
      </c>
      <c r="AZ28" s="17"/>
      <c r="BA28" s="17">
        <v>128354046</v>
      </c>
      <c r="BB28" s="17"/>
      <c r="BC28" s="19">
        <f t="shared" si="18"/>
        <v>0</v>
      </c>
      <c r="BD28" s="19">
        <f t="shared" si="19"/>
        <v>0</v>
      </c>
      <c r="BE28" s="19">
        <f t="shared" si="20"/>
        <v>898478322</v>
      </c>
      <c r="BF28" s="19">
        <f t="shared" si="21"/>
        <v>0</v>
      </c>
      <c r="BG28" s="17">
        <v>0</v>
      </c>
      <c r="BH28" s="17"/>
      <c r="BI28" s="17">
        <v>128354046</v>
      </c>
      <c r="BJ28" s="17"/>
      <c r="BK28" s="17">
        <v>0</v>
      </c>
      <c r="BL28" s="19">
        <f t="shared" si="22"/>
        <v>0</v>
      </c>
      <c r="BM28" s="19">
        <f t="shared" si="23"/>
        <v>0</v>
      </c>
      <c r="BN28" s="19">
        <f t="shared" si="24"/>
        <v>1026832368</v>
      </c>
      <c r="BO28" s="19">
        <f t="shared" si="25"/>
        <v>0</v>
      </c>
      <c r="BP28" s="82">
        <f t="shared" si="26"/>
        <v>0</v>
      </c>
      <c r="BQ28" s="17">
        <v>0</v>
      </c>
      <c r="BR28" s="17"/>
      <c r="BS28" s="17">
        <v>128354046</v>
      </c>
      <c r="BT28" s="17"/>
      <c r="BU28" s="17">
        <v>0</v>
      </c>
      <c r="BV28" s="19">
        <f t="shared" si="27"/>
        <v>0</v>
      </c>
      <c r="BW28" s="19">
        <f t="shared" si="28"/>
        <v>0</v>
      </c>
      <c r="BX28" s="19">
        <f t="shared" si="29"/>
        <v>1155186414</v>
      </c>
      <c r="BY28" s="19">
        <f t="shared" si="30"/>
        <v>0</v>
      </c>
      <c r="BZ28" s="19">
        <f t="shared" si="30"/>
        <v>0</v>
      </c>
    </row>
    <row r="29" spans="1:78" ht="15">
      <c r="A29" s="14">
        <v>8910800313</v>
      </c>
      <c r="B29" s="14">
        <v>891080031</v>
      </c>
      <c r="C29" s="14">
        <v>27123000</v>
      </c>
      <c r="D29" s="15" t="s">
        <v>47</v>
      </c>
      <c r="E29" s="23" t="s">
        <v>48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64">
        <v>109318390</v>
      </c>
      <c r="AF29" s="17">
        <v>1719875144</v>
      </c>
      <c r="AG29" s="17"/>
      <c r="AH29" s="18"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  <c r="AN29" s="17">
        <v>3439750288</v>
      </c>
      <c r="AO29" s="17">
        <v>836155514.5</v>
      </c>
      <c r="AP29" s="18">
        <v>7492088734</v>
      </c>
      <c r="AQ29" s="18">
        <v>1347252269</v>
      </c>
      <c r="AR29" s="18">
        <v>41540311</v>
      </c>
      <c r="AS29" s="18"/>
      <c r="AT29" s="18">
        <v>766775338</v>
      </c>
      <c r="AU29" s="19">
        <f t="shared" si="14"/>
        <v>12039126007.933334</v>
      </c>
      <c r="AV29" s="19">
        <f t="shared" si="15"/>
        <v>2291352402.5</v>
      </c>
      <c r="AW29" s="19">
        <f t="shared" si="16"/>
        <v>31657615762.4</v>
      </c>
      <c r="AX29" s="19">
        <f t="shared" si="17"/>
        <v>876093728</v>
      </c>
      <c r="AY29" s="17">
        <v>1719875144</v>
      </c>
      <c r="AZ29" s="17"/>
      <c r="BA29" s="17">
        <v>3746044367</v>
      </c>
      <c r="BB29" s="17"/>
      <c r="BC29" s="19">
        <f t="shared" si="18"/>
        <v>13759001151.933334</v>
      </c>
      <c r="BD29" s="19">
        <f t="shared" si="19"/>
        <v>2291352402.5</v>
      </c>
      <c r="BE29" s="19">
        <f t="shared" si="20"/>
        <v>35403660129.4</v>
      </c>
      <c r="BF29" s="19">
        <f t="shared" si="21"/>
        <v>876093728</v>
      </c>
      <c r="BG29" s="17">
        <v>1719875144</v>
      </c>
      <c r="BH29" s="17"/>
      <c r="BI29" s="17">
        <v>3746044367</v>
      </c>
      <c r="BJ29" s="17"/>
      <c r="BK29" s="17">
        <v>245581825</v>
      </c>
      <c r="BL29" s="19">
        <f t="shared" si="22"/>
        <v>15478876295.933334</v>
      </c>
      <c r="BM29" s="19">
        <f t="shared" si="23"/>
        <v>2291352402.5</v>
      </c>
      <c r="BN29" s="19">
        <f t="shared" si="24"/>
        <v>39149704496.4</v>
      </c>
      <c r="BO29" s="19">
        <f t="shared" si="25"/>
        <v>876093728</v>
      </c>
      <c r="BP29" s="82">
        <f t="shared" si="26"/>
        <v>245581825</v>
      </c>
      <c r="BQ29" s="17">
        <v>1719875144</v>
      </c>
      <c r="BR29" s="17"/>
      <c r="BS29" s="17">
        <v>4935654122</v>
      </c>
      <c r="BT29" s="17"/>
      <c r="BU29" s="17">
        <v>133110585</v>
      </c>
      <c r="BV29" s="19">
        <f t="shared" si="27"/>
        <v>17198751439.933334</v>
      </c>
      <c r="BW29" s="19">
        <f t="shared" si="28"/>
        <v>2291352402.5</v>
      </c>
      <c r="BX29" s="19">
        <f t="shared" si="29"/>
        <v>44085358618.4</v>
      </c>
      <c r="BY29" s="19">
        <f t="shared" si="30"/>
        <v>876093728</v>
      </c>
      <c r="BZ29" s="19">
        <f t="shared" si="30"/>
        <v>378692410</v>
      </c>
    </row>
    <row r="30" spans="1:78" ht="12.75">
      <c r="A30" s="14">
        <v>8911800842</v>
      </c>
      <c r="B30" s="14">
        <v>891180084</v>
      </c>
      <c r="C30" s="14">
        <v>26141000</v>
      </c>
      <c r="D30" s="15" t="s">
        <v>49</v>
      </c>
      <c r="E30" s="16" t="s">
        <v>50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64">
        <v>56424124</v>
      </c>
      <c r="AF30" s="17">
        <v>0</v>
      </c>
      <c r="AG30" s="17"/>
      <c r="AH30" s="18"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  <c r="AN30" s="17">
        <v>0</v>
      </c>
      <c r="AO30" s="17">
        <v>409230928</v>
      </c>
      <c r="AP30" s="18">
        <v>5204401438</v>
      </c>
      <c r="AQ30" s="18">
        <v>1003636317</v>
      </c>
      <c r="AR30" s="18">
        <v>298801201</v>
      </c>
      <c r="AS30" s="18"/>
      <c r="AT30" s="18">
        <v>413099890</v>
      </c>
      <c r="AU30" s="19">
        <f t="shared" si="14"/>
        <v>0</v>
      </c>
      <c r="AV30" s="19">
        <f t="shared" si="15"/>
        <v>2220049986</v>
      </c>
      <c r="AW30" s="19">
        <f t="shared" si="16"/>
        <v>22450012515.86667</v>
      </c>
      <c r="AX30" s="19">
        <f t="shared" si="17"/>
        <v>469524014</v>
      </c>
      <c r="AY30" s="17">
        <v>0</v>
      </c>
      <c r="AZ30" s="17"/>
      <c r="BA30" s="17">
        <v>2602200719</v>
      </c>
      <c r="BB30" s="17"/>
      <c r="BC30" s="19">
        <f t="shared" si="18"/>
        <v>0</v>
      </c>
      <c r="BD30" s="19">
        <f t="shared" si="19"/>
        <v>2220049986</v>
      </c>
      <c r="BE30" s="19">
        <f t="shared" si="20"/>
        <v>25052213234.86667</v>
      </c>
      <c r="BF30" s="19">
        <f t="shared" si="21"/>
        <v>469524014</v>
      </c>
      <c r="BG30" s="17">
        <v>0</v>
      </c>
      <c r="BH30" s="17"/>
      <c r="BI30" s="17">
        <v>2602200719</v>
      </c>
      <c r="BJ30" s="17"/>
      <c r="BK30" s="17">
        <v>124160755</v>
      </c>
      <c r="BL30" s="19">
        <f t="shared" si="22"/>
        <v>0</v>
      </c>
      <c r="BM30" s="19">
        <f t="shared" si="23"/>
        <v>2220049986</v>
      </c>
      <c r="BN30" s="19">
        <f t="shared" si="24"/>
        <v>27654413953.86667</v>
      </c>
      <c r="BO30" s="19">
        <f t="shared" si="25"/>
        <v>469524014</v>
      </c>
      <c r="BP30" s="82">
        <f t="shared" si="26"/>
        <v>124160755</v>
      </c>
      <c r="BQ30" s="17">
        <v>0</v>
      </c>
      <c r="BR30" s="17"/>
      <c r="BS30" s="17">
        <v>3192218994</v>
      </c>
      <c r="BT30" s="17"/>
      <c r="BU30" s="17">
        <v>63844379</v>
      </c>
      <c r="BV30" s="19">
        <f t="shared" si="27"/>
        <v>0</v>
      </c>
      <c r="BW30" s="19">
        <f t="shared" si="28"/>
        <v>2220049986</v>
      </c>
      <c r="BX30" s="19">
        <f t="shared" si="29"/>
        <v>30846632947.86667</v>
      </c>
      <c r="BY30" s="19">
        <f t="shared" si="30"/>
        <v>469524014</v>
      </c>
      <c r="BZ30" s="19">
        <f t="shared" si="30"/>
        <v>188005134</v>
      </c>
    </row>
    <row r="31" spans="1:78" ht="12.75">
      <c r="A31" s="14">
        <v>8911903461</v>
      </c>
      <c r="B31" s="14">
        <v>891190346</v>
      </c>
      <c r="C31" s="14">
        <v>26318000</v>
      </c>
      <c r="D31" s="15" t="s">
        <v>51</v>
      </c>
      <c r="E31" s="16" t="s">
        <v>52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64">
        <v>29176480</v>
      </c>
      <c r="AF31" s="17">
        <v>0</v>
      </c>
      <c r="AG31" s="17"/>
      <c r="AH31" s="18"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  <c r="AN31" s="17">
        <v>0</v>
      </c>
      <c r="AO31" s="17">
        <v>197434220</v>
      </c>
      <c r="AP31" s="18">
        <v>2548433764</v>
      </c>
      <c r="AQ31" s="18">
        <v>1791548983</v>
      </c>
      <c r="AR31" s="18">
        <v>285125600</v>
      </c>
      <c r="AS31" s="18"/>
      <c r="AT31" s="18">
        <v>201583577</v>
      </c>
      <c r="AU31" s="19">
        <f t="shared" si="14"/>
        <v>0</v>
      </c>
      <c r="AV31" s="19">
        <f t="shared" si="15"/>
        <v>793827127</v>
      </c>
      <c r="AW31" s="19">
        <f t="shared" si="16"/>
        <v>12548551775.266666</v>
      </c>
      <c r="AX31" s="19">
        <f t="shared" si="17"/>
        <v>230760057</v>
      </c>
      <c r="AY31" s="17">
        <v>0</v>
      </c>
      <c r="AZ31" s="17"/>
      <c r="BA31" s="17">
        <v>1274216882</v>
      </c>
      <c r="BB31" s="17"/>
      <c r="BC31" s="19">
        <f t="shared" si="18"/>
        <v>0</v>
      </c>
      <c r="BD31" s="19">
        <f t="shared" si="19"/>
        <v>793827127</v>
      </c>
      <c r="BE31" s="19">
        <f t="shared" si="20"/>
        <v>13822768657.266666</v>
      </c>
      <c r="BF31" s="19">
        <f t="shared" si="21"/>
        <v>230760057</v>
      </c>
      <c r="BG31" s="17">
        <v>0</v>
      </c>
      <c r="BH31" s="17"/>
      <c r="BI31" s="17">
        <v>1274216882</v>
      </c>
      <c r="BJ31" s="17"/>
      <c r="BK31" s="17">
        <v>86799655</v>
      </c>
      <c r="BL31" s="19">
        <f t="shared" si="22"/>
        <v>0</v>
      </c>
      <c r="BM31" s="19">
        <f t="shared" si="23"/>
        <v>793827127</v>
      </c>
      <c r="BN31" s="19">
        <f t="shared" si="24"/>
        <v>15096985539.266666</v>
      </c>
      <c r="BO31" s="19">
        <f t="shared" si="25"/>
        <v>230760057</v>
      </c>
      <c r="BP31" s="82">
        <f t="shared" si="26"/>
        <v>86799655</v>
      </c>
      <c r="BQ31" s="17">
        <v>0</v>
      </c>
      <c r="BR31" s="17"/>
      <c r="BS31" s="17">
        <v>1572491540</v>
      </c>
      <c r="BT31" s="17"/>
      <c r="BU31" s="17">
        <v>31449831</v>
      </c>
      <c r="BV31" s="19">
        <f t="shared" si="27"/>
        <v>0</v>
      </c>
      <c r="BW31" s="19">
        <f t="shared" si="28"/>
        <v>793827127</v>
      </c>
      <c r="BX31" s="19">
        <f t="shared" si="29"/>
        <v>16669477079.266666</v>
      </c>
      <c r="BY31" s="19">
        <f t="shared" si="30"/>
        <v>230760057</v>
      </c>
      <c r="BZ31" s="19">
        <f t="shared" si="30"/>
        <v>118249486</v>
      </c>
    </row>
    <row r="32" spans="1:78" ht="12.75">
      <c r="A32" s="14">
        <v>8913800335</v>
      </c>
      <c r="B32" s="14">
        <v>891380033</v>
      </c>
      <c r="C32" s="14">
        <v>211176111</v>
      </c>
      <c r="D32" s="15" t="s">
        <v>53</v>
      </c>
      <c r="E32" s="16" t="s">
        <v>176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64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  <c r="AN32" s="17">
        <v>0</v>
      </c>
      <c r="AO32" s="17">
        <v>0</v>
      </c>
      <c r="AP32" s="18">
        <v>0</v>
      </c>
      <c r="AQ32" s="18">
        <v>0</v>
      </c>
      <c r="AR32" s="18">
        <v>0</v>
      </c>
      <c r="AS32" s="18"/>
      <c r="AT32" s="18">
        <v>0</v>
      </c>
      <c r="AU32" s="19">
        <f t="shared" si="14"/>
        <v>0</v>
      </c>
      <c r="AV32" s="19">
        <f t="shared" si="15"/>
        <v>0</v>
      </c>
      <c r="AW32" s="19">
        <f t="shared" si="16"/>
        <v>0</v>
      </c>
      <c r="AX32" s="19">
        <f t="shared" si="17"/>
        <v>0</v>
      </c>
      <c r="AY32" s="17">
        <v>0</v>
      </c>
      <c r="AZ32" s="17"/>
      <c r="BA32" s="17">
        <v>0</v>
      </c>
      <c r="BB32" s="17"/>
      <c r="BC32" s="19">
        <f t="shared" si="18"/>
        <v>0</v>
      </c>
      <c r="BD32" s="19">
        <f t="shared" si="19"/>
        <v>0</v>
      </c>
      <c r="BE32" s="19">
        <f t="shared" si="20"/>
        <v>0</v>
      </c>
      <c r="BF32" s="19">
        <f t="shared" si="21"/>
        <v>0</v>
      </c>
      <c r="BG32" s="17">
        <v>0</v>
      </c>
      <c r="BH32" s="17"/>
      <c r="BI32" s="17">
        <v>0</v>
      </c>
      <c r="BJ32" s="17"/>
      <c r="BK32" s="17">
        <v>0</v>
      </c>
      <c r="BL32" s="19">
        <f t="shared" si="22"/>
        <v>0</v>
      </c>
      <c r="BM32" s="19">
        <f t="shared" si="23"/>
        <v>0</v>
      </c>
      <c r="BN32" s="19">
        <f t="shared" si="24"/>
        <v>0</v>
      </c>
      <c r="BO32" s="19">
        <f t="shared" si="25"/>
        <v>0</v>
      </c>
      <c r="BP32" s="82">
        <f t="shared" si="26"/>
        <v>0</v>
      </c>
      <c r="BQ32" s="17">
        <v>0</v>
      </c>
      <c r="BR32" s="17"/>
      <c r="BS32" s="17">
        <v>0</v>
      </c>
      <c r="BT32" s="17"/>
      <c r="BU32" s="17">
        <v>0</v>
      </c>
      <c r="BV32" s="19">
        <f t="shared" si="27"/>
        <v>0</v>
      </c>
      <c r="BW32" s="19">
        <f t="shared" si="28"/>
        <v>0</v>
      </c>
      <c r="BX32" s="19">
        <f t="shared" si="29"/>
        <v>0</v>
      </c>
      <c r="BY32" s="19">
        <f t="shared" si="30"/>
        <v>0</v>
      </c>
      <c r="BZ32" s="19">
        <f t="shared" si="30"/>
        <v>0</v>
      </c>
    </row>
    <row r="33" spans="1:78" ht="12.75">
      <c r="A33" s="14">
        <v>8914800359</v>
      </c>
      <c r="B33" s="14">
        <v>891480035</v>
      </c>
      <c r="C33" s="14">
        <v>24666000</v>
      </c>
      <c r="D33" s="15" t="s">
        <v>54</v>
      </c>
      <c r="E33" s="16" t="s">
        <v>179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64">
        <v>94362064</v>
      </c>
      <c r="AF33" s="17">
        <v>264388268</v>
      </c>
      <c r="AG33" s="17"/>
      <c r="AH33" s="18"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  <c r="AN33" s="17">
        <v>528785264</v>
      </c>
      <c r="AO33" s="17">
        <v>734201850.5</v>
      </c>
      <c r="AP33" s="18">
        <v>8907429940</v>
      </c>
      <c r="AQ33" s="18">
        <v>1428266609</v>
      </c>
      <c r="AR33" s="18">
        <v>911398585</v>
      </c>
      <c r="AS33" s="18">
        <v>141638672</v>
      </c>
      <c r="AT33" s="18">
        <v>731970283</v>
      </c>
      <c r="AU33" s="19">
        <f t="shared" si="14"/>
        <v>1850730968</v>
      </c>
      <c r="AV33" s="19">
        <f t="shared" si="15"/>
        <v>3236885028.5</v>
      </c>
      <c r="AW33" s="19">
        <f t="shared" si="16"/>
        <v>38533095366.6</v>
      </c>
      <c r="AX33" s="19">
        <f t="shared" si="17"/>
        <v>826332347</v>
      </c>
      <c r="AY33" s="17">
        <v>264392632</v>
      </c>
      <c r="AZ33" s="17"/>
      <c r="BA33" s="17">
        <v>4453714970</v>
      </c>
      <c r="BB33" s="17"/>
      <c r="BC33" s="19">
        <f t="shared" si="18"/>
        <v>2115123600</v>
      </c>
      <c r="BD33" s="19">
        <f t="shared" si="19"/>
        <v>3236885028.5</v>
      </c>
      <c r="BE33" s="19">
        <f t="shared" si="20"/>
        <v>42986810336.6</v>
      </c>
      <c r="BF33" s="19">
        <f t="shared" si="21"/>
        <v>826332347</v>
      </c>
      <c r="BG33" s="17">
        <v>264392632</v>
      </c>
      <c r="BH33" s="17"/>
      <c r="BI33" s="17">
        <v>4453714970</v>
      </c>
      <c r="BJ33" s="17"/>
      <c r="BK33" s="17">
        <v>217289636</v>
      </c>
      <c r="BL33" s="19">
        <f t="shared" si="22"/>
        <v>2379516232</v>
      </c>
      <c r="BM33" s="19">
        <f t="shared" si="23"/>
        <v>3236885028.5</v>
      </c>
      <c r="BN33" s="19">
        <f t="shared" si="24"/>
        <v>47440525306.6</v>
      </c>
      <c r="BO33" s="19">
        <f t="shared" si="25"/>
        <v>826332347</v>
      </c>
      <c r="BP33" s="82">
        <f t="shared" si="26"/>
        <v>217289636</v>
      </c>
      <c r="BQ33" s="17">
        <v>264392632</v>
      </c>
      <c r="BR33" s="17"/>
      <c r="BS33" s="17">
        <v>5501155932</v>
      </c>
      <c r="BT33" s="17"/>
      <c r="BU33" s="17">
        <v>115310971</v>
      </c>
      <c r="BV33" s="19">
        <f t="shared" si="27"/>
        <v>2643908864</v>
      </c>
      <c r="BW33" s="19">
        <f t="shared" si="28"/>
        <v>3236885028.5</v>
      </c>
      <c r="BX33" s="19">
        <f t="shared" si="29"/>
        <v>52941681238.6</v>
      </c>
      <c r="BY33" s="19">
        <f t="shared" si="30"/>
        <v>826332347</v>
      </c>
      <c r="BZ33" s="19">
        <f t="shared" si="30"/>
        <v>332600607</v>
      </c>
    </row>
    <row r="34" spans="1:78" ht="12.75">
      <c r="A34" s="14">
        <v>8915003192</v>
      </c>
      <c r="B34" s="14">
        <v>891500319</v>
      </c>
      <c r="C34" s="14">
        <v>27219000</v>
      </c>
      <c r="D34" s="15" t="s">
        <v>55</v>
      </c>
      <c r="E34" s="43" t="s">
        <v>174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64">
        <v>121415738</v>
      </c>
      <c r="AF34" s="17">
        <v>1076432590</v>
      </c>
      <c r="AG34" s="17"/>
      <c r="AH34" s="18"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  <c r="AN34" s="17">
        <v>2152865180</v>
      </c>
      <c r="AO34" s="17">
        <v>940737962.5</v>
      </c>
      <c r="AP34" s="18">
        <v>9988708640</v>
      </c>
      <c r="AQ34" s="18">
        <v>1602969634</v>
      </c>
      <c r="AR34" s="18">
        <v>421814407</v>
      </c>
      <c r="AS34" s="18"/>
      <c r="AT34" s="18">
        <v>898859544</v>
      </c>
      <c r="AU34" s="19">
        <f t="shared" si="14"/>
        <v>7535028129.933333</v>
      </c>
      <c r="AV34" s="19">
        <f t="shared" si="15"/>
        <v>3766558784.5</v>
      </c>
      <c r="AW34" s="19">
        <f t="shared" si="16"/>
        <v>42255884818.933334</v>
      </c>
      <c r="AX34" s="19">
        <f t="shared" si="17"/>
        <v>1020275282</v>
      </c>
      <c r="AY34" s="17">
        <v>1076432590</v>
      </c>
      <c r="AZ34" s="17"/>
      <c r="BA34" s="17">
        <v>4994354320</v>
      </c>
      <c r="BB34" s="17"/>
      <c r="BC34" s="19">
        <f t="shared" si="18"/>
        <v>8611460719.933334</v>
      </c>
      <c r="BD34" s="19">
        <f t="shared" si="19"/>
        <v>3766558784.5</v>
      </c>
      <c r="BE34" s="19">
        <f t="shared" si="20"/>
        <v>47250239138.933334</v>
      </c>
      <c r="BF34" s="19">
        <f t="shared" si="21"/>
        <v>1020275282</v>
      </c>
      <c r="BG34" s="17">
        <v>1076432590</v>
      </c>
      <c r="BH34" s="17"/>
      <c r="BI34" s="17">
        <v>4994354320</v>
      </c>
      <c r="BJ34" s="17"/>
      <c r="BK34" s="17">
        <v>274890869</v>
      </c>
      <c r="BL34" s="19">
        <f t="shared" si="22"/>
        <v>9687893309.933334</v>
      </c>
      <c r="BM34" s="19">
        <f t="shared" si="23"/>
        <v>3766558784.5</v>
      </c>
      <c r="BN34" s="19">
        <f t="shared" si="24"/>
        <v>52244593458.933334</v>
      </c>
      <c r="BO34" s="19">
        <f t="shared" si="25"/>
        <v>1020275282</v>
      </c>
      <c r="BP34" s="82">
        <f t="shared" si="26"/>
        <v>274890869</v>
      </c>
      <c r="BQ34" s="17">
        <v>1076432590</v>
      </c>
      <c r="BR34" s="17"/>
      <c r="BS34" s="17">
        <v>6301959572</v>
      </c>
      <c r="BT34" s="17"/>
      <c r="BU34" s="17">
        <v>147567843</v>
      </c>
      <c r="BV34" s="19">
        <f t="shared" si="27"/>
        <v>10764325899.933334</v>
      </c>
      <c r="BW34" s="19">
        <f t="shared" si="28"/>
        <v>3766558784.5</v>
      </c>
      <c r="BX34" s="19">
        <f t="shared" si="29"/>
        <v>58546553030.933334</v>
      </c>
      <c r="BY34" s="19">
        <f t="shared" si="30"/>
        <v>1020275282</v>
      </c>
      <c r="BZ34" s="19">
        <f t="shared" si="30"/>
        <v>422458712</v>
      </c>
    </row>
    <row r="35" spans="1:78" ht="12.75">
      <c r="A35" s="14">
        <v>8915007591</v>
      </c>
      <c r="B35" s="14">
        <v>891500759</v>
      </c>
      <c r="C35" s="14">
        <v>822719000</v>
      </c>
      <c r="D35" s="15" t="s">
        <v>56</v>
      </c>
      <c r="E35" s="16" t="s">
        <v>57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64">
        <v>5255545</v>
      </c>
      <c r="AF35" s="17">
        <v>0</v>
      </c>
      <c r="AG35" s="17"/>
      <c r="AH35" s="18"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  <c r="AN35" s="17">
        <v>0</v>
      </c>
      <c r="AO35" s="17">
        <v>0</v>
      </c>
      <c r="AP35" s="18">
        <v>262777234</v>
      </c>
      <c r="AQ35" s="18">
        <v>0</v>
      </c>
      <c r="AR35" s="18">
        <v>0</v>
      </c>
      <c r="AS35" s="18"/>
      <c r="AT35" s="18">
        <v>0</v>
      </c>
      <c r="AU35" s="19">
        <f t="shared" si="14"/>
        <v>0</v>
      </c>
      <c r="AV35" s="19">
        <f t="shared" si="15"/>
        <v>0</v>
      </c>
      <c r="AW35" s="19">
        <f t="shared" si="16"/>
        <v>1576663404</v>
      </c>
      <c r="AX35" s="19">
        <f t="shared" si="17"/>
        <v>5255545</v>
      </c>
      <c r="AY35" s="17">
        <v>0</v>
      </c>
      <c r="AZ35" s="17"/>
      <c r="BA35" s="17">
        <v>262777234</v>
      </c>
      <c r="BB35" s="17"/>
      <c r="BC35" s="19">
        <f t="shared" si="18"/>
        <v>0</v>
      </c>
      <c r="BD35" s="19">
        <f t="shared" si="19"/>
        <v>0</v>
      </c>
      <c r="BE35" s="19">
        <f t="shared" si="20"/>
        <v>1839440638</v>
      </c>
      <c r="BF35" s="19">
        <f t="shared" si="21"/>
        <v>5255545</v>
      </c>
      <c r="BG35" s="17">
        <v>0</v>
      </c>
      <c r="BH35" s="17"/>
      <c r="BI35" s="17">
        <v>262777234</v>
      </c>
      <c r="BJ35" s="17"/>
      <c r="BK35" s="17">
        <v>36788815</v>
      </c>
      <c r="BL35" s="19">
        <f t="shared" si="22"/>
        <v>0</v>
      </c>
      <c r="BM35" s="19">
        <f t="shared" si="23"/>
        <v>0</v>
      </c>
      <c r="BN35" s="19">
        <f t="shared" si="24"/>
        <v>2102217872</v>
      </c>
      <c r="BO35" s="19">
        <f t="shared" si="25"/>
        <v>5255545</v>
      </c>
      <c r="BP35" s="82">
        <f t="shared" si="26"/>
        <v>36788815</v>
      </c>
      <c r="BQ35" s="17">
        <v>0</v>
      </c>
      <c r="BR35" s="17"/>
      <c r="BS35" s="17">
        <v>262777234</v>
      </c>
      <c r="BT35" s="17"/>
      <c r="BU35" s="17">
        <v>5255545</v>
      </c>
      <c r="BV35" s="19">
        <f t="shared" si="27"/>
        <v>0</v>
      </c>
      <c r="BW35" s="19">
        <f t="shared" si="28"/>
        <v>0</v>
      </c>
      <c r="BX35" s="19">
        <f t="shared" si="29"/>
        <v>2364995106</v>
      </c>
      <c r="BY35" s="19">
        <f t="shared" si="30"/>
        <v>5255545</v>
      </c>
      <c r="BZ35" s="19">
        <f t="shared" si="30"/>
        <v>42044360</v>
      </c>
    </row>
    <row r="36" spans="1:78" ht="12.75">
      <c r="A36" s="14">
        <v>8916800894</v>
      </c>
      <c r="B36" s="14">
        <v>891680089</v>
      </c>
      <c r="C36" s="14">
        <v>28327000</v>
      </c>
      <c r="D36" s="15" t="s">
        <v>58</v>
      </c>
      <c r="E36" s="16" t="s">
        <v>59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64">
        <v>50014269</v>
      </c>
      <c r="AF36" s="17">
        <v>95786696</v>
      </c>
      <c r="AG36" s="17"/>
      <c r="AH36" s="18"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  <c r="AN36" s="17">
        <v>191573392</v>
      </c>
      <c r="AO36" s="17">
        <v>350694447</v>
      </c>
      <c r="AP36" s="18">
        <v>4387516098</v>
      </c>
      <c r="AQ36" s="18">
        <v>2067295320</v>
      </c>
      <c r="AR36" s="18">
        <v>591534102</v>
      </c>
      <c r="AS36" s="18">
        <v>62932006</v>
      </c>
      <c r="AT36" s="18">
        <v>350043519</v>
      </c>
      <c r="AU36" s="19">
        <f t="shared" si="14"/>
        <v>670506872</v>
      </c>
      <c r="AV36" s="19">
        <f t="shared" si="15"/>
        <v>1012147990</v>
      </c>
      <c r="AW36" s="19">
        <f t="shared" si="16"/>
        <v>20589987572.86667</v>
      </c>
      <c r="AX36" s="19">
        <f t="shared" si="17"/>
        <v>400057788</v>
      </c>
      <c r="AY36" s="17">
        <v>95786696</v>
      </c>
      <c r="AZ36" s="17"/>
      <c r="BA36" s="17">
        <v>2193758049</v>
      </c>
      <c r="BB36" s="17"/>
      <c r="BC36" s="19">
        <f t="shared" si="18"/>
        <v>766293568</v>
      </c>
      <c r="BD36" s="19">
        <f t="shared" si="19"/>
        <v>1012147990</v>
      </c>
      <c r="BE36" s="19">
        <f t="shared" si="20"/>
        <v>22783745621.86667</v>
      </c>
      <c r="BF36" s="19">
        <f t="shared" si="21"/>
        <v>400057788</v>
      </c>
      <c r="BG36" s="17">
        <v>95786696</v>
      </c>
      <c r="BH36" s="17"/>
      <c r="BI36" s="17">
        <v>2193758049</v>
      </c>
      <c r="BJ36" s="17"/>
      <c r="BK36" s="17">
        <v>132927696</v>
      </c>
      <c r="BL36" s="19">
        <f t="shared" si="22"/>
        <v>862080264</v>
      </c>
      <c r="BM36" s="19">
        <f t="shared" si="23"/>
        <v>1012147990</v>
      </c>
      <c r="BN36" s="19">
        <f t="shared" si="24"/>
        <v>24977503670.86667</v>
      </c>
      <c r="BO36" s="19">
        <f t="shared" si="25"/>
        <v>400057788</v>
      </c>
      <c r="BP36" s="82">
        <f t="shared" si="26"/>
        <v>132927696</v>
      </c>
      <c r="BQ36" s="17">
        <v>95786696</v>
      </c>
      <c r="BR36" s="17"/>
      <c r="BS36" s="17">
        <v>2706519614</v>
      </c>
      <c r="BT36" s="17"/>
      <c r="BU36" s="17">
        <v>56046126</v>
      </c>
      <c r="BV36" s="19">
        <f t="shared" si="27"/>
        <v>957866960</v>
      </c>
      <c r="BW36" s="19">
        <f t="shared" si="28"/>
        <v>1012147990</v>
      </c>
      <c r="BX36" s="19">
        <f t="shared" si="29"/>
        <v>27684023284.86667</v>
      </c>
      <c r="BY36" s="19">
        <f t="shared" si="30"/>
        <v>400057788</v>
      </c>
      <c r="BZ36" s="19">
        <f t="shared" si="30"/>
        <v>188973822</v>
      </c>
    </row>
    <row r="37" spans="1:78" ht="12.75">
      <c r="A37" s="14">
        <v>8917019320</v>
      </c>
      <c r="B37" s="14">
        <v>891701932</v>
      </c>
      <c r="C37" s="14">
        <v>823847000</v>
      </c>
      <c r="D37" s="15" t="s">
        <v>60</v>
      </c>
      <c r="E37" s="16" t="s">
        <v>61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64">
        <v>3185531</v>
      </c>
      <c r="AF37" s="17">
        <v>0</v>
      </c>
      <c r="AG37" s="17"/>
      <c r="AH37" s="18"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  <c r="AN37" s="17">
        <v>0</v>
      </c>
      <c r="AO37" s="17">
        <v>0</v>
      </c>
      <c r="AP37" s="18">
        <v>159276571</v>
      </c>
      <c r="AQ37" s="18">
        <v>0</v>
      </c>
      <c r="AR37" s="18">
        <v>0</v>
      </c>
      <c r="AS37" s="76">
        <v>36000000</v>
      </c>
      <c r="AT37" s="18">
        <v>0</v>
      </c>
      <c r="AU37" s="19">
        <f t="shared" si="14"/>
        <v>0</v>
      </c>
      <c r="AV37" s="19">
        <f t="shared" si="15"/>
        <v>0</v>
      </c>
      <c r="AW37" s="19">
        <f t="shared" si="16"/>
        <v>991659426</v>
      </c>
      <c r="AX37" s="19">
        <f t="shared" si="17"/>
        <v>3185531</v>
      </c>
      <c r="AY37" s="17">
        <v>0</v>
      </c>
      <c r="AZ37" s="17"/>
      <c r="BA37" s="17">
        <v>159276571</v>
      </c>
      <c r="BB37" s="17"/>
      <c r="BC37" s="19">
        <f aca="true" t="shared" si="31" ref="BC37:BC54">+AU37+AY37</f>
        <v>0</v>
      </c>
      <c r="BD37" s="19">
        <f aca="true" t="shared" si="32" ref="BD37:BD54">+AV37+AZ37</f>
        <v>0</v>
      </c>
      <c r="BE37" s="19">
        <f t="shared" si="20"/>
        <v>1150935997</v>
      </c>
      <c r="BF37" s="19">
        <f aca="true" t="shared" si="33" ref="BF37:BF54">+AX37+BB37</f>
        <v>3185531</v>
      </c>
      <c r="BG37" s="17">
        <v>0</v>
      </c>
      <c r="BH37" s="17"/>
      <c r="BI37" s="17">
        <v>159276571</v>
      </c>
      <c r="BJ37" s="17"/>
      <c r="BK37" s="17">
        <v>22298717</v>
      </c>
      <c r="BL37" s="19">
        <f t="shared" si="22"/>
        <v>0</v>
      </c>
      <c r="BM37" s="19">
        <f t="shared" si="23"/>
        <v>0</v>
      </c>
      <c r="BN37" s="19">
        <f t="shared" si="24"/>
        <v>1310212568</v>
      </c>
      <c r="BO37" s="19">
        <f t="shared" si="25"/>
        <v>3185531</v>
      </c>
      <c r="BP37" s="82">
        <f t="shared" si="26"/>
        <v>22298717</v>
      </c>
      <c r="BQ37" s="17">
        <v>0</v>
      </c>
      <c r="BR37" s="17"/>
      <c r="BS37" s="17">
        <v>159276571</v>
      </c>
      <c r="BT37" s="17"/>
      <c r="BU37" s="17">
        <v>3185531</v>
      </c>
      <c r="BV37" s="19">
        <f t="shared" si="27"/>
        <v>0</v>
      </c>
      <c r="BW37" s="19">
        <f t="shared" si="28"/>
        <v>0</v>
      </c>
      <c r="BX37" s="19">
        <f t="shared" si="29"/>
        <v>1469489139</v>
      </c>
      <c r="BY37" s="19">
        <f t="shared" si="30"/>
        <v>3185531</v>
      </c>
      <c r="BZ37" s="19">
        <f t="shared" si="30"/>
        <v>25484248</v>
      </c>
    </row>
    <row r="38" spans="1:78" ht="12.75">
      <c r="A38" s="14">
        <v>8917801118</v>
      </c>
      <c r="B38" s="14">
        <v>891780111</v>
      </c>
      <c r="C38" s="14">
        <v>121647000</v>
      </c>
      <c r="D38" s="15" t="s">
        <v>62</v>
      </c>
      <c r="E38" s="16" t="s">
        <v>63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64">
        <v>48533939</v>
      </c>
      <c r="AF38" s="17">
        <v>0</v>
      </c>
      <c r="AG38" s="17"/>
      <c r="AH38" s="18"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  <c r="AN38" s="17">
        <v>0</v>
      </c>
      <c r="AO38" s="17">
        <v>364004541.5</v>
      </c>
      <c r="AP38" s="18">
        <v>4853393888</v>
      </c>
      <c r="AQ38" s="18">
        <v>2192356295</v>
      </c>
      <c r="AR38" s="18">
        <v>670578205</v>
      </c>
      <c r="AS38" s="18"/>
      <c r="AT38" s="18">
        <v>360436723</v>
      </c>
      <c r="AU38" s="19">
        <f t="shared" si="14"/>
        <v>0</v>
      </c>
      <c r="AV38" s="19">
        <f t="shared" si="15"/>
        <v>364004541.5</v>
      </c>
      <c r="AW38" s="19">
        <f t="shared" si="16"/>
        <v>22640889344</v>
      </c>
      <c r="AX38" s="19">
        <f t="shared" si="17"/>
        <v>408970662</v>
      </c>
      <c r="AY38" s="17">
        <v>0</v>
      </c>
      <c r="AZ38" s="17"/>
      <c r="BA38" s="17">
        <v>2426696944</v>
      </c>
      <c r="BB38" s="17"/>
      <c r="BC38" s="19">
        <f t="shared" si="31"/>
        <v>0</v>
      </c>
      <c r="BD38" s="19">
        <f t="shared" si="32"/>
        <v>364004541.5</v>
      </c>
      <c r="BE38" s="19">
        <f t="shared" si="20"/>
        <v>25067586288</v>
      </c>
      <c r="BF38" s="19">
        <f t="shared" si="33"/>
        <v>408970662</v>
      </c>
      <c r="BG38" s="17">
        <v>0</v>
      </c>
      <c r="BH38" s="17"/>
      <c r="BI38" s="17">
        <v>2426696944</v>
      </c>
      <c r="BJ38" s="17"/>
      <c r="BK38" s="17">
        <v>140915004</v>
      </c>
      <c r="BL38" s="19">
        <f t="shared" si="22"/>
        <v>0</v>
      </c>
      <c r="BM38" s="19">
        <f t="shared" si="23"/>
        <v>364004541.5</v>
      </c>
      <c r="BN38" s="19">
        <f t="shared" si="24"/>
        <v>27494283232</v>
      </c>
      <c r="BO38" s="19">
        <f t="shared" si="25"/>
        <v>408970662</v>
      </c>
      <c r="BP38" s="82">
        <f t="shared" si="26"/>
        <v>140915004</v>
      </c>
      <c r="BQ38" s="17">
        <v>0</v>
      </c>
      <c r="BR38" s="17"/>
      <c r="BS38" s="17">
        <v>2976509118</v>
      </c>
      <c r="BT38" s="17"/>
      <c r="BU38" s="17">
        <v>59530182</v>
      </c>
      <c r="BV38" s="19">
        <f t="shared" si="27"/>
        <v>0</v>
      </c>
      <c r="BW38" s="19">
        <f t="shared" si="28"/>
        <v>364004541.5</v>
      </c>
      <c r="BX38" s="19">
        <f t="shared" si="29"/>
        <v>30470792350</v>
      </c>
      <c r="BY38" s="19">
        <f t="shared" si="30"/>
        <v>408970662</v>
      </c>
      <c r="BZ38" s="19">
        <f t="shared" si="30"/>
        <v>200445186</v>
      </c>
    </row>
    <row r="39" spans="1:78" ht="12.75">
      <c r="A39" s="14">
        <v>8918002604</v>
      </c>
      <c r="B39" s="14">
        <v>891800260</v>
      </c>
      <c r="C39" s="14">
        <v>20615000</v>
      </c>
      <c r="D39" s="15" t="s">
        <v>64</v>
      </c>
      <c r="E39" s="16" t="s">
        <v>65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64">
        <v>0</v>
      </c>
      <c r="AF39" s="17">
        <v>0</v>
      </c>
      <c r="AG39" s="17"/>
      <c r="AH39" s="18"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  <c r="AN39" s="17">
        <v>0</v>
      </c>
      <c r="AO39" s="17">
        <v>0</v>
      </c>
      <c r="AP39" s="18">
        <v>393245961</v>
      </c>
      <c r="AQ39" s="18">
        <v>0</v>
      </c>
      <c r="AR39" s="18">
        <v>0</v>
      </c>
      <c r="AS39" s="18"/>
      <c r="AT39" s="18">
        <v>0</v>
      </c>
      <c r="AU39" s="19">
        <f t="shared" si="14"/>
        <v>0</v>
      </c>
      <c r="AV39" s="19">
        <f t="shared" si="15"/>
        <v>0</v>
      </c>
      <c r="AW39" s="19">
        <f t="shared" si="16"/>
        <v>2359475766</v>
      </c>
      <c r="AX39" s="19">
        <f t="shared" si="17"/>
        <v>0</v>
      </c>
      <c r="AY39" s="17">
        <v>0</v>
      </c>
      <c r="AZ39" s="17"/>
      <c r="BA39" s="17">
        <v>393245961</v>
      </c>
      <c r="BB39" s="17"/>
      <c r="BC39" s="19">
        <f t="shared" si="31"/>
        <v>0</v>
      </c>
      <c r="BD39" s="19">
        <f t="shared" si="32"/>
        <v>0</v>
      </c>
      <c r="BE39" s="19">
        <f t="shared" si="20"/>
        <v>2752721727</v>
      </c>
      <c r="BF39" s="19">
        <f t="shared" si="33"/>
        <v>0</v>
      </c>
      <c r="BG39" s="17">
        <v>0</v>
      </c>
      <c r="BH39" s="17"/>
      <c r="BI39" s="17">
        <v>393245961</v>
      </c>
      <c r="BJ39" s="17"/>
      <c r="BK39" s="17">
        <v>0</v>
      </c>
      <c r="BL39" s="19">
        <f t="shared" si="22"/>
        <v>0</v>
      </c>
      <c r="BM39" s="19">
        <f t="shared" si="23"/>
        <v>0</v>
      </c>
      <c r="BN39" s="19">
        <f t="shared" si="24"/>
        <v>3145967688</v>
      </c>
      <c r="BO39" s="19">
        <f t="shared" si="25"/>
        <v>0</v>
      </c>
      <c r="BP39" s="82">
        <f t="shared" si="26"/>
        <v>0</v>
      </c>
      <c r="BQ39" s="17">
        <v>0</v>
      </c>
      <c r="BR39" s="17"/>
      <c r="BS39" s="17">
        <v>393245961</v>
      </c>
      <c r="BT39" s="17"/>
      <c r="BU39" s="17">
        <v>0</v>
      </c>
      <c r="BV39" s="19">
        <f t="shared" si="27"/>
        <v>0</v>
      </c>
      <c r="BW39" s="19">
        <f t="shared" si="28"/>
        <v>0</v>
      </c>
      <c r="BX39" s="19">
        <f t="shared" si="29"/>
        <v>3539213649</v>
      </c>
      <c r="BY39" s="19">
        <f t="shared" si="30"/>
        <v>0</v>
      </c>
      <c r="BZ39" s="19">
        <f t="shared" si="30"/>
        <v>0</v>
      </c>
    </row>
    <row r="40" spans="1:78" ht="12.75">
      <c r="A40" s="14">
        <v>8918003301</v>
      </c>
      <c r="B40" s="14">
        <v>891800330</v>
      </c>
      <c r="C40" s="14">
        <v>27615000</v>
      </c>
      <c r="D40" s="15" t="s">
        <v>66</v>
      </c>
      <c r="E40" s="22" t="s">
        <v>100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64">
        <v>119741341</v>
      </c>
      <c r="AF40" s="17">
        <v>0</v>
      </c>
      <c r="AG40" s="17"/>
      <c r="AH40" s="18"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  <c r="AN40" s="17">
        <v>0</v>
      </c>
      <c r="AO40" s="17">
        <v>938951736</v>
      </c>
      <c r="AP40" s="18">
        <v>11974134130</v>
      </c>
      <c r="AQ40" s="18">
        <v>1913727069</v>
      </c>
      <c r="AR40" s="18">
        <v>1697771465</v>
      </c>
      <c r="AS40" s="18"/>
      <c r="AT40" s="18">
        <v>956388197</v>
      </c>
      <c r="AU40" s="19">
        <f t="shared" si="14"/>
        <v>0</v>
      </c>
      <c r="AV40" s="19">
        <f t="shared" si="15"/>
        <v>4842616866</v>
      </c>
      <c r="AW40" s="19">
        <f t="shared" si="16"/>
        <v>51816538856.33333</v>
      </c>
      <c r="AX40" s="19">
        <f t="shared" si="17"/>
        <v>1076129538</v>
      </c>
      <c r="AY40" s="17">
        <v>0</v>
      </c>
      <c r="AZ40" s="17"/>
      <c r="BA40" s="17">
        <v>5987067065</v>
      </c>
      <c r="BB40" s="17"/>
      <c r="BC40" s="19">
        <f t="shared" si="31"/>
        <v>0</v>
      </c>
      <c r="BD40" s="19">
        <f t="shared" si="32"/>
        <v>4842616866</v>
      </c>
      <c r="BE40" s="19">
        <f t="shared" si="20"/>
        <v>57803605921.33333</v>
      </c>
      <c r="BF40" s="19">
        <f t="shared" si="33"/>
        <v>1076129538</v>
      </c>
      <c r="BG40" s="17">
        <v>0</v>
      </c>
      <c r="BH40" s="17"/>
      <c r="BI40" s="17">
        <v>5987067065</v>
      </c>
      <c r="BJ40" s="17"/>
      <c r="BK40" s="17">
        <v>277757223</v>
      </c>
      <c r="BL40" s="19">
        <f t="shared" si="22"/>
        <v>0</v>
      </c>
      <c r="BM40" s="19">
        <f t="shared" si="23"/>
        <v>4842616866</v>
      </c>
      <c r="BN40" s="19">
        <f t="shared" si="24"/>
        <v>63790672986.33333</v>
      </c>
      <c r="BO40" s="19">
        <f t="shared" si="25"/>
        <v>1076129538</v>
      </c>
      <c r="BP40" s="82">
        <f t="shared" si="26"/>
        <v>277757223</v>
      </c>
      <c r="BQ40" s="17">
        <v>0</v>
      </c>
      <c r="BR40" s="17"/>
      <c r="BS40" s="17">
        <v>7276625390</v>
      </c>
      <c r="BT40" s="17"/>
      <c r="BU40" s="17">
        <v>145532508</v>
      </c>
      <c r="BV40" s="19">
        <f t="shared" si="27"/>
        <v>0</v>
      </c>
      <c r="BW40" s="19">
        <f t="shared" si="28"/>
        <v>4842616866</v>
      </c>
      <c r="BX40" s="19">
        <f t="shared" si="29"/>
        <v>71067298376.33333</v>
      </c>
      <c r="BY40" s="19">
        <f t="shared" si="30"/>
        <v>1076129538</v>
      </c>
      <c r="BZ40" s="19">
        <f t="shared" si="30"/>
        <v>423289731</v>
      </c>
    </row>
    <row r="41" spans="1:78" ht="12.75">
      <c r="A41" s="14">
        <v>8919008530</v>
      </c>
      <c r="B41" s="14">
        <v>891900853</v>
      </c>
      <c r="C41" s="14">
        <v>124876000</v>
      </c>
      <c r="D41" s="15" t="s">
        <v>67</v>
      </c>
      <c r="E41" s="16" t="s">
        <v>68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64">
        <v>2375519</v>
      </c>
      <c r="AF41" s="17">
        <v>0</v>
      </c>
      <c r="AG41" s="17"/>
      <c r="AH41" s="18"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  <c r="AN41" s="17">
        <v>0</v>
      </c>
      <c r="AO41" s="17">
        <v>0</v>
      </c>
      <c r="AP41" s="18">
        <v>237551936</v>
      </c>
      <c r="AQ41" s="18">
        <v>0</v>
      </c>
      <c r="AR41" s="18">
        <v>0</v>
      </c>
      <c r="AS41" s="18"/>
      <c r="AT41" s="18">
        <v>16628635</v>
      </c>
      <c r="AU41" s="19">
        <f t="shared" si="14"/>
        <v>0</v>
      </c>
      <c r="AV41" s="19">
        <f t="shared" si="15"/>
        <v>0</v>
      </c>
      <c r="AW41" s="19">
        <f t="shared" si="16"/>
        <v>950207743.2666667</v>
      </c>
      <c r="AX41" s="19">
        <f t="shared" si="17"/>
        <v>19004154</v>
      </c>
      <c r="AY41" s="17">
        <v>0</v>
      </c>
      <c r="AZ41" s="17"/>
      <c r="BA41" s="17">
        <v>118775968</v>
      </c>
      <c r="BB41" s="17"/>
      <c r="BC41" s="19">
        <f t="shared" si="31"/>
        <v>0</v>
      </c>
      <c r="BD41" s="19">
        <f t="shared" si="32"/>
        <v>0</v>
      </c>
      <c r="BE41" s="19">
        <f t="shared" si="20"/>
        <v>1068983711.2666667</v>
      </c>
      <c r="BF41" s="19">
        <f t="shared" si="33"/>
        <v>19004154</v>
      </c>
      <c r="BG41" s="17">
        <v>0</v>
      </c>
      <c r="BH41" s="17"/>
      <c r="BI41" s="17">
        <v>118775968</v>
      </c>
      <c r="BJ41" s="17"/>
      <c r="BK41" s="17">
        <v>4751038</v>
      </c>
      <c r="BL41" s="19">
        <f t="shared" si="22"/>
        <v>0</v>
      </c>
      <c r="BM41" s="19">
        <f t="shared" si="23"/>
        <v>0</v>
      </c>
      <c r="BN41" s="19">
        <f t="shared" si="24"/>
        <v>1187759679.2666667</v>
      </c>
      <c r="BO41" s="19">
        <f t="shared" si="25"/>
        <v>19004154</v>
      </c>
      <c r="BP41" s="82">
        <f t="shared" si="26"/>
        <v>4751038</v>
      </c>
      <c r="BQ41" s="17">
        <v>0</v>
      </c>
      <c r="BR41" s="17"/>
      <c r="BS41" s="17">
        <v>143584275</v>
      </c>
      <c r="BT41" s="17"/>
      <c r="BU41" s="17">
        <v>2871685</v>
      </c>
      <c r="BV41" s="19">
        <f t="shared" si="27"/>
        <v>0</v>
      </c>
      <c r="BW41" s="19">
        <f t="shared" si="28"/>
        <v>0</v>
      </c>
      <c r="BX41" s="19">
        <f t="shared" si="29"/>
        <v>1331343954.2666667</v>
      </c>
      <c r="BY41" s="19">
        <f t="shared" si="30"/>
        <v>19004154</v>
      </c>
      <c r="BZ41" s="19">
        <f t="shared" si="30"/>
        <v>7622723</v>
      </c>
    </row>
    <row r="42" spans="1:78" ht="12.75">
      <c r="A42" s="14">
        <v>8920007573</v>
      </c>
      <c r="B42" s="14">
        <v>892000757</v>
      </c>
      <c r="C42" s="14">
        <v>28450000</v>
      </c>
      <c r="D42" s="15" t="s">
        <v>69</v>
      </c>
      <c r="E42" s="16" t="s">
        <v>70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64">
        <v>33100486</v>
      </c>
      <c r="AF42" s="17">
        <v>0</v>
      </c>
      <c r="AG42" s="17"/>
      <c r="AH42" s="18"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  <c r="AN42" s="17">
        <v>0</v>
      </c>
      <c r="AO42" s="17">
        <v>225581473</v>
      </c>
      <c r="AP42" s="18">
        <v>2857033530</v>
      </c>
      <c r="AQ42" s="18">
        <v>893325481</v>
      </c>
      <c r="AR42" s="18">
        <v>157264723</v>
      </c>
      <c r="AS42" s="18"/>
      <c r="AT42" s="18">
        <v>231651133</v>
      </c>
      <c r="AU42" s="19">
        <f t="shared" si="14"/>
        <v>0</v>
      </c>
      <c r="AV42" s="19">
        <f t="shared" si="15"/>
        <v>1309983677</v>
      </c>
      <c r="AW42" s="19">
        <f t="shared" si="16"/>
        <v>12819996723.666668</v>
      </c>
      <c r="AX42" s="19">
        <f t="shared" si="17"/>
        <v>264751619</v>
      </c>
      <c r="AY42" s="17">
        <v>0</v>
      </c>
      <c r="AZ42" s="17"/>
      <c r="BA42" s="17">
        <v>1428516765</v>
      </c>
      <c r="BB42" s="17"/>
      <c r="BC42" s="19">
        <f t="shared" si="31"/>
        <v>0</v>
      </c>
      <c r="BD42" s="19">
        <f t="shared" si="32"/>
        <v>1309983677</v>
      </c>
      <c r="BE42" s="19">
        <f t="shared" si="20"/>
        <v>14248513488.666668</v>
      </c>
      <c r="BF42" s="19">
        <f t="shared" si="33"/>
        <v>264751619</v>
      </c>
      <c r="BG42" s="17">
        <v>0</v>
      </c>
      <c r="BH42" s="17"/>
      <c r="BI42" s="17">
        <v>1428516765</v>
      </c>
      <c r="BJ42" s="17"/>
      <c r="BK42" s="17">
        <v>75007181</v>
      </c>
      <c r="BL42" s="19">
        <f t="shared" si="22"/>
        <v>0</v>
      </c>
      <c r="BM42" s="19">
        <f t="shared" si="23"/>
        <v>1309983677</v>
      </c>
      <c r="BN42" s="19">
        <f t="shared" si="24"/>
        <v>15677030253.666668</v>
      </c>
      <c r="BO42" s="19">
        <f t="shared" si="25"/>
        <v>264751619</v>
      </c>
      <c r="BP42" s="82">
        <f t="shared" si="26"/>
        <v>75007181</v>
      </c>
      <c r="BQ42" s="17">
        <v>0</v>
      </c>
      <c r="BR42" s="17"/>
      <c r="BS42" s="17">
        <v>1780354222</v>
      </c>
      <c r="BT42" s="17"/>
      <c r="BU42" s="17">
        <v>35607084</v>
      </c>
      <c r="BV42" s="19">
        <f t="shared" si="27"/>
        <v>0</v>
      </c>
      <c r="BW42" s="19">
        <f t="shared" si="28"/>
        <v>1309983677</v>
      </c>
      <c r="BX42" s="19">
        <f t="shared" si="29"/>
        <v>17457384475.666668</v>
      </c>
      <c r="BY42" s="19">
        <f t="shared" si="30"/>
        <v>264751619</v>
      </c>
      <c r="BZ42" s="19">
        <f t="shared" si="30"/>
        <v>110614265</v>
      </c>
    </row>
    <row r="43" spans="1:78" ht="12.75">
      <c r="A43" s="14">
        <v>8921150294</v>
      </c>
      <c r="B43" s="14">
        <v>892115029</v>
      </c>
      <c r="C43" s="14">
        <v>129444000</v>
      </c>
      <c r="D43" s="15" t="s">
        <v>71</v>
      </c>
      <c r="E43" s="16" t="s">
        <v>72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64">
        <v>24521747</v>
      </c>
      <c r="AF43" s="17">
        <v>0</v>
      </c>
      <c r="AG43" s="17"/>
      <c r="AH43" s="18"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  <c r="AN43" s="17">
        <v>0</v>
      </c>
      <c r="AO43" s="17">
        <v>158728235</v>
      </c>
      <c r="AP43" s="18">
        <v>2116376468</v>
      </c>
      <c r="AQ43" s="18">
        <v>1746675153</v>
      </c>
      <c r="AR43" s="18">
        <v>0</v>
      </c>
      <c r="AS43" s="18"/>
      <c r="AT43" s="18">
        <v>153205727</v>
      </c>
      <c r="AU43" s="19">
        <f t="shared" si="14"/>
        <v>0</v>
      </c>
      <c r="AV43" s="19">
        <f t="shared" si="15"/>
        <v>158728235</v>
      </c>
      <c r="AW43" s="19">
        <f t="shared" si="16"/>
        <v>10465149721.866667</v>
      </c>
      <c r="AX43" s="19">
        <f t="shared" si="17"/>
        <v>177727474</v>
      </c>
      <c r="AY43" s="17">
        <v>0</v>
      </c>
      <c r="AZ43" s="17"/>
      <c r="BA43" s="17">
        <v>1058188234</v>
      </c>
      <c r="BB43" s="17"/>
      <c r="BC43" s="19">
        <f t="shared" si="31"/>
        <v>0</v>
      </c>
      <c r="BD43" s="19">
        <f t="shared" si="32"/>
        <v>158728235</v>
      </c>
      <c r="BE43" s="19">
        <f t="shared" si="20"/>
        <v>11523337955.866667</v>
      </c>
      <c r="BF43" s="19">
        <f t="shared" si="33"/>
        <v>177727474</v>
      </c>
      <c r="BG43" s="17">
        <v>0</v>
      </c>
      <c r="BH43" s="17"/>
      <c r="BI43" s="17">
        <v>1058188234</v>
      </c>
      <c r="BJ43" s="17"/>
      <c r="BK43" s="17">
        <v>77261034</v>
      </c>
      <c r="BL43" s="19">
        <f t="shared" si="22"/>
        <v>0</v>
      </c>
      <c r="BM43" s="19">
        <f t="shared" si="23"/>
        <v>158728235</v>
      </c>
      <c r="BN43" s="19">
        <f t="shared" si="24"/>
        <v>12581526189.866667</v>
      </c>
      <c r="BO43" s="19">
        <f t="shared" si="25"/>
        <v>177727474</v>
      </c>
      <c r="BP43" s="82">
        <f t="shared" si="26"/>
        <v>77261034</v>
      </c>
      <c r="BQ43" s="17">
        <v>0</v>
      </c>
      <c r="BR43" s="17"/>
      <c r="BS43" s="17">
        <v>1327450038</v>
      </c>
      <c r="BT43" s="17"/>
      <c r="BU43" s="17">
        <v>26549001</v>
      </c>
      <c r="BV43" s="19">
        <f t="shared" si="27"/>
        <v>0</v>
      </c>
      <c r="BW43" s="19">
        <f t="shared" si="28"/>
        <v>158728235</v>
      </c>
      <c r="BX43" s="19">
        <f t="shared" si="29"/>
        <v>13908976227.866667</v>
      </c>
      <c r="BY43" s="19">
        <f t="shared" si="30"/>
        <v>177727474</v>
      </c>
      <c r="BZ43" s="19">
        <f t="shared" si="30"/>
        <v>103810035</v>
      </c>
    </row>
    <row r="44" spans="1:78" ht="12.75">
      <c r="A44" s="14">
        <v>8922003239</v>
      </c>
      <c r="B44" s="14">
        <v>892200323</v>
      </c>
      <c r="C44" s="14">
        <v>128870000</v>
      </c>
      <c r="D44" s="15" t="s">
        <v>73</v>
      </c>
      <c r="E44" s="16" t="s">
        <v>74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64">
        <v>23661270</v>
      </c>
      <c r="AF44" s="17">
        <v>0</v>
      </c>
      <c r="AG44" s="17"/>
      <c r="AH44" s="18"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  <c r="AN44" s="17">
        <v>0</v>
      </c>
      <c r="AO44" s="17">
        <v>148563225.5</v>
      </c>
      <c r="AP44" s="18">
        <v>1980843004</v>
      </c>
      <c r="AQ44" s="18">
        <v>1835053666</v>
      </c>
      <c r="AR44" s="18">
        <v>145099269</v>
      </c>
      <c r="AS44" s="18"/>
      <c r="AT44" s="18">
        <v>147365957</v>
      </c>
      <c r="AU44" s="19">
        <f t="shared" si="14"/>
        <v>0</v>
      </c>
      <c r="AV44" s="19">
        <f t="shared" si="15"/>
        <v>148563225.5</v>
      </c>
      <c r="AW44" s="19">
        <f t="shared" si="16"/>
        <v>10193773049.666666</v>
      </c>
      <c r="AX44" s="19">
        <f t="shared" si="17"/>
        <v>171027227</v>
      </c>
      <c r="AY44" s="17">
        <v>0</v>
      </c>
      <c r="AZ44" s="17"/>
      <c r="BA44" s="17">
        <v>990421502</v>
      </c>
      <c r="BB44" s="17"/>
      <c r="BC44" s="19">
        <f t="shared" si="31"/>
        <v>0</v>
      </c>
      <c r="BD44" s="19">
        <f t="shared" si="32"/>
        <v>148563225.5</v>
      </c>
      <c r="BE44" s="19">
        <f t="shared" si="20"/>
        <v>11184194551.666666</v>
      </c>
      <c r="BF44" s="19">
        <f t="shared" si="33"/>
        <v>171027227</v>
      </c>
      <c r="BG44" s="17">
        <v>0</v>
      </c>
      <c r="BH44" s="17"/>
      <c r="BI44" s="17">
        <v>990421502</v>
      </c>
      <c r="BJ44" s="17"/>
      <c r="BK44" s="17">
        <v>76317934</v>
      </c>
      <c r="BL44" s="19">
        <f t="shared" si="22"/>
        <v>0</v>
      </c>
      <c r="BM44" s="19">
        <f t="shared" si="23"/>
        <v>148563225.5</v>
      </c>
      <c r="BN44" s="19">
        <f t="shared" si="24"/>
        <v>12174616053.666666</v>
      </c>
      <c r="BO44" s="19">
        <f t="shared" si="25"/>
        <v>171027227</v>
      </c>
      <c r="BP44" s="82">
        <f t="shared" si="26"/>
        <v>76317934</v>
      </c>
      <c r="BQ44" s="17">
        <v>0</v>
      </c>
      <c r="BR44" s="17"/>
      <c r="BS44" s="17">
        <v>1229744420</v>
      </c>
      <c r="BT44" s="17"/>
      <c r="BU44" s="17">
        <v>24594889</v>
      </c>
      <c r="BV44" s="19">
        <f t="shared" si="27"/>
        <v>0</v>
      </c>
      <c r="BW44" s="19">
        <f t="shared" si="28"/>
        <v>148563225.5</v>
      </c>
      <c r="BX44" s="19">
        <f t="shared" si="29"/>
        <v>13404360473.666666</v>
      </c>
      <c r="BY44" s="19">
        <f t="shared" si="30"/>
        <v>171027227</v>
      </c>
      <c r="BZ44" s="19">
        <f t="shared" si="30"/>
        <v>100912823</v>
      </c>
    </row>
    <row r="45" spans="1:78" ht="12.75">
      <c r="A45" s="14">
        <v>8923002856</v>
      </c>
      <c r="B45" s="14">
        <v>892300285</v>
      </c>
      <c r="C45" s="14">
        <v>821920000</v>
      </c>
      <c r="D45" s="15" t="s">
        <v>75</v>
      </c>
      <c r="E45" s="16" t="s">
        <v>175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64">
        <v>30733674</v>
      </c>
      <c r="AF45" s="17">
        <v>0</v>
      </c>
      <c r="AG45" s="17"/>
      <c r="AH45" s="18"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  <c r="AN45" s="17">
        <v>0</v>
      </c>
      <c r="AO45" s="17">
        <v>214565307</v>
      </c>
      <c r="AP45" s="18">
        <v>2753307360</v>
      </c>
      <c r="AQ45" s="18">
        <v>1808007602</v>
      </c>
      <c r="AR45" s="18">
        <v>35579581</v>
      </c>
      <c r="AS45" s="18"/>
      <c r="AT45" s="18">
        <v>213663616</v>
      </c>
      <c r="AU45" s="19">
        <f t="shared" si="14"/>
        <v>0</v>
      </c>
      <c r="AV45" s="19">
        <f t="shared" si="15"/>
        <v>984478165</v>
      </c>
      <c r="AW45" s="19">
        <f t="shared" si="16"/>
        <v>13097929163.466667</v>
      </c>
      <c r="AX45" s="19">
        <f t="shared" si="17"/>
        <v>244397290</v>
      </c>
      <c r="AY45" s="17">
        <v>0</v>
      </c>
      <c r="AZ45" s="17"/>
      <c r="BA45" s="17">
        <v>1376653680</v>
      </c>
      <c r="BB45" s="17"/>
      <c r="BC45" s="19">
        <f t="shared" si="31"/>
        <v>0</v>
      </c>
      <c r="BD45" s="19">
        <f t="shared" si="32"/>
        <v>984478165</v>
      </c>
      <c r="BE45" s="19">
        <f t="shared" si="20"/>
        <v>14474582843.466667</v>
      </c>
      <c r="BF45" s="19">
        <f t="shared" si="33"/>
        <v>244397290</v>
      </c>
      <c r="BG45" s="17">
        <v>0</v>
      </c>
      <c r="BH45" s="17"/>
      <c r="BI45" s="17">
        <v>1376653680</v>
      </c>
      <c r="BJ45" s="17"/>
      <c r="BK45" s="17">
        <v>91226301</v>
      </c>
      <c r="BL45" s="19">
        <f t="shared" si="22"/>
        <v>0</v>
      </c>
      <c r="BM45" s="19">
        <f t="shared" si="23"/>
        <v>984478165</v>
      </c>
      <c r="BN45" s="19">
        <f t="shared" si="24"/>
        <v>15851236523.466667</v>
      </c>
      <c r="BO45" s="19">
        <f t="shared" si="25"/>
        <v>244397290</v>
      </c>
      <c r="BP45" s="82">
        <f t="shared" si="26"/>
        <v>91226301</v>
      </c>
      <c r="BQ45" s="17">
        <v>0</v>
      </c>
      <c r="BR45" s="17"/>
      <c r="BS45" s="17">
        <v>1694675676</v>
      </c>
      <c r="BT45" s="17"/>
      <c r="BU45" s="17">
        <v>33893514</v>
      </c>
      <c r="BV45" s="19">
        <f t="shared" si="27"/>
        <v>0</v>
      </c>
      <c r="BW45" s="19">
        <f t="shared" si="28"/>
        <v>984478165</v>
      </c>
      <c r="BX45" s="19">
        <f t="shared" si="29"/>
        <v>17545912199.466667</v>
      </c>
      <c r="BY45" s="19">
        <f t="shared" si="30"/>
        <v>244397290</v>
      </c>
      <c r="BZ45" s="19">
        <f t="shared" si="30"/>
        <v>125119815</v>
      </c>
    </row>
    <row r="46" spans="1:78" s="26" customFormat="1" ht="15">
      <c r="A46" s="21">
        <v>8999990633</v>
      </c>
      <c r="B46" s="14">
        <v>899999063</v>
      </c>
      <c r="C46" s="21">
        <v>27400000</v>
      </c>
      <c r="D46" s="24" t="s">
        <v>76</v>
      </c>
      <c r="E46" s="25" t="s">
        <v>77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64">
        <v>844277758</v>
      </c>
      <c r="AF46" s="17">
        <v>10265689102</v>
      </c>
      <c r="AG46" s="17"/>
      <c r="AH46" s="18"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  <c r="AN46" s="17">
        <v>20531378204</v>
      </c>
      <c r="AO46" s="17">
        <v>6723061292.5</v>
      </c>
      <c r="AP46" s="18">
        <v>63896397620</v>
      </c>
      <c r="AQ46" s="18">
        <v>8693551680</v>
      </c>
      <c r="AR46" s="18">
        <v>5021626863</v>
      </c>
      <c r="AS46" s="18"/>
      <c r="AT46" s="18">
        <v>6569841776</v>
      </c>
      <c r="AU46" s="19">
        <f t="shared" si="14"/>
        <v>71859823714</v>
      </c>
      <c r="AV46" s="19">
        <f t="shared" si="15"/>
        <v>44540695158.5</v>
      </c>
      <c r="AW46" s="19">
        <f t="shared" si="16"/>
        <v>269722070904.06665</v>
      </c>
      <c r="AX46" s="19">
        <f t="shared" si="17"/>
        <v>7414119534</v>
      </c>
      <c r="AY46" s="17">
        <v>10265689102</v>
      </c>
      <c r="AZ46" s="17"/>
      <c r="BA46" s="17">
        <v>31948198810</v>
      </c>
      <c r="BB46" s="17"/>
      <c r="BC46" s="19">
        <f t="shared" si="31"/>
        <v>82125512816</v>
      </c>
      <c r="BD46" s="19">
        <f t="shared" si="32"/>
        <v>44540695158.5</v>
      </c>
      <c r="BE46" s="19">
        <f t="shared" si="20"/>
        <v>301670269714.06665</v>
      </c>
      <c r="BF46" s="19">
        <f t="shared" si="33"/>
        <v>7414119534</v>
      </c>
      <c r="BG46" s="17">
        <v>10265689102</v>
      </c>
      <c r="BH46" s="17"/>
      <c r="BI46" s="17">
        <v>31948198810</v>
      </c>
      <c r="BJ46" s="17"/>
      <c r="BK46" s="17">
        <v>1862426550</v>
      </c>
      <c r="BL46" s="19">
        <f t="shared" si="22"/>
        <v>92391201918</v>
      </c>
      <c r="BM46" s="19">
        <f t="shared" si="23"/>
        <v>44540695158.5</v>
      </c>
      <c r="BN46" s="19">
        <f t="shared" si="24"/>
        <v>333618468524.06665</v>
      </c>
      <c r="BO46" s="19">
        <f t="shared" si="25"/>
        <v>7414119534</v>
      </c>
      <c r="BP46" s="82">
        <f t="shared" si="26"/>
        <v>1862426550</v>
      </c>
      <c r="BQ46" s="17">
        <v>10265689102</v>
      </c>
      <c r="BR46" s="17"/>
      <c r="BS46" s="17">
        <v>40823385072</v>
      </c>
      <c r="BT46" s="17"/>
      <c r="BU46" s="17">
        <v>1021781483</v>
      </c>
      <c r="BV46" s="19">
        <f t="shared" si="27"/>
        <v>102656891020</v>
      </c>
      <c r="BW46" s="19">
        <f t="shared" si="28"/>
        <v>44540695158.5</v>
      </c>
      <c r="BX46" s="19">
        <f t="shared" si="29"/>
        <v>374441853596.06665</v>
      </c>
      <c r="BY46" s="19">
        <f t="shared" si="30"/>
        <v>7414119534</v>
      </c>
      <c r="BZ46" s="19">
        <f t="shared" si="30"/>
        <v>2884208033</v>
      </c>
    </row>
    <row r="47" spans="1:78" ht="12.75">
      <c r="A47" s="14">
        <v>8999991244</v>
      </c>
      <c r="B47" s="14">
        <v>899999124</v>
      </c>
      <c r="C47" s="14">
        <v>27500000</v>
      </c>
      <c r="D47" s="15" t="s">
        <v>78</v>
      </c>
      <c r="E47" s="16" t="s">
        <v>79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64">
        <v>63103620</v>
      </c>
      <c r="AF47" s="17">
        <v>0</v>
      </c>
      <c r="AG47" s="17"/>
      <c r="AH47" s="18"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  <c r="AN47" s="17">
        <v>0</v>
      </c>
      <c r="AO47" s="17">
        <v>493420020.5</v>
      </c>
      <c r="AP47" s="18">
        <v>6310362034</v>
      </c>
      <c r="AQ47" s="18">
        <v>1174333606</v>
      </c>
      <c r="AR47" s="18">
        <v>266812615</v>
      </c>
      <c r="AS47" s="18">
        <v>96429495.79999924</v>
      </c>
      <c r="AT47" s="18">
        <v>491939327</v>
      </c>
      <c r="AU47" s="19">
        <f t="shared" si="14"/>
        <v>0</v>
      </c>
      <c r="AV47" s="19">
        <f t="shared" si="15"/>
        <v>2408384440.5</v>
      </c>
      <c r="AW47" s="19">
        <f t="shared" si="16"/>
        <v>27107946080</v>
      </c>
      <c r="AX47" s="19">
        <f t="shared" si="17"/>
        <v>555042947</v>
      </c>
      <c r="AY47" s="17">
        <v>0</v>
      </c>
      <c r="AZ47" s="17"/>
      <c r="BA47" s="17">
        <v>3155181017</v>
      </c>
      <c r="BB47" s="17"/>
      <c r="BC47" s="19">
        <f t="shared" si="31"/>
        <v>0</v>
      </c>
      <c r="BD47" s="19">
        <f t="shared" si="32"/>
        <v>2408384440.5</v>
      </c>
      <c r="BE47" s="19">
        <f t="shared" si="20"/>
        <v>30263127097</v>
      </c>
      <c r="BF47" s="19">
        <f t="shared" si="33"/>
        <v>555042947</v>
      </c>
      <c r="BG47" s="17">
        <v>0</v>
      </c>
      <c r="BH47" s="17"/>
      <c r="BI47" s="17">
        <v>3155181017</v>
      </c>
      <c r="BJ47" s="17"/>
      <c r="BK47" s="17">
        <v>149693912</v>
      </c>
      <c r="BL47" s="19">
        <f t="shared" si="22"/>
        <v>0</v>
      </c>
      <c r="BM47" s="19">
        <f t="shared" si="23"/>
        <v>2408384440.5</v>
      </c>
      <c r="BN47" s="19">
        <f t="shared" si="24"/>
        <v>33418308114</v>
      </c>
      <c r="BO47" s="19">
        <f t="shared" si="25"/>
        <v>555042947</v>
      </c>
      <c r="BP47" s="82">
        <f t="shared" si="26"/>
        <v>149693912</v>
      </c>
      <c r="BQ47" s="17">
        <v>0</v>
      </c>
      <c r="BR47" s="17"/>
      <c r="BS47" s="17">
        <v>3864523138</v>
      </c>
      <c r="BT47" s="17"/>
      <c r="BU47" s="17">
        <v>77290462</v>
      </c>
      <c r="BV47" s="19">
        <f t="shared" si="27"/>
        <v>0</v>
      </c>
      <c r="BW47" s="19">
        <f t="shared" si="28"/>
        <v>2408384440.5</v>
      </c>
      <c r="BX47" s="19">
        <f t="shared" si="29"/>
        <v>37282831252</v>
      </c>
      <c r="BY47" s="19">
        <f t="shared" si="30"/>
        <v>555042947</v>
      </c>
      <c r="BZ47" s="19">
        <f t="shared" si="30"/>
        <v>226984374</v>
      </c>
    </row>
    <row r="48" spans="1:78" ht="12.75">
      <c r="A48" s="14">
        <v>8999992307</v>
      </c>
      <c r="B48" s="14">
        <v>899999230</v>
      </c>
      <c r="C48" s="14">
        <v>222711001</v>
      </c>
      <c r="D48" s="15" t="s">
        <v>80</v>
      </c>
      <c r="E48" s="16" t="s">
        <v>81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64">
        <v>17802315</v>
      </c>
      <c r="AF48" s="17">
        <v>0</v>
      </c>
      <c r="AG48" s="17"/>
      <c r="AH48" s="18"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  <c r="AN48" s="17">
        <v>0</v>
      </c>
      <c r="AO48" s="17">
        <v>133517364.5</v>
      </c>
      <c r="AP48" s="18">
        <v>1780231530</v>
      </c>
      <c r="AQ48" s="18">
        <v>595851718</v>
      </c>
      <c r="AR48" s="18">
        <v>418112252</v>
      </c>
      <c r="AS48" s="18"/>
      <c r="AT48" s="18">
        <v>138009190</v>
      </c>
      <c r="AU48" s="19">
        <f t="shared" si="14"/>
        <v>0</v>
      </c>
      <c r="AV48" s="19">
        <f t="shared" si="15"/>
        <v>133517364.5</v>
      </c>
      <c r="AW48" s="19">
        <f t="shared" si="16"/>
        <v>8386427006.066667</v>
      </c>
      <c r="AX48" s="19">
        <f t="shared" si="17"/>
        <v>155811505</v>
      </c>
      <c r="AY48" s="17">
        <v>0</v>
      </c>
      <c r="AZ48" s="17"/>
      <c r="BA48" s="17">
        <v>890115765</v>
      </c>
      <c r="BB48" s="17"/>
      <c r="BC48" s="19">
        <f t="shared" si="31"/>
        <v>0</v>
      </c>
      <c r="BD48" s="19">
        <f t="shared" si="32"/>
        <v>133517364.5</v>
      </c>
      <c r="BE48" s="19">
        <f t="shared" si="20"/>
        <v>9276542771.066666</v>
      </c>
      <c r="BF48" s="19">
        <f t="shared" si="33"/>
        <v>155811505</v>
      </c>
      <c r="BG48" s="17">
        <v>0</v>
      </c>
      <c r="BH48" s="17"/>
      <c r="BI48" s="17">
        <v>890115765</v>
      </c>
      <c r="BJ48" s="17"/>
      <c r="BK48" s="17">
        <v>47521664</v>
      </c>
      <c r="BL48" s="19">
        <f t="shared" si="22"/>
        <v>0</v>
      </c>
      <c r="BM48" s="19">
        <f t="shared" si="23"/>
        <v>133517364.5</v>
      </c>
      <c r="BN48" s="19">
        <f t="shared" si="24"/>
        <v>10166658536.066666</v>
      </c>
      <c r="BO48" s="19">
        <f t="shared" si="25"/>
        <v>155811505</v>
      </c>
      <c r="BP48" s="82">
        <f t="shared" si="26"/>
        <v>47521664</v>
      </c>
      <c r="BQ48" s="17">
        <v>0</v>
      </c>
      <c r="BR48" s="17"/>
      <c r="BS48" s="17">
        <v>1117362553</v>
      </c>
      <c r="BT48" s="17"/>
      <c r="BU48" s="17">
        <v>22347250</v>
      </c>
      <c r="BV48" s="19">
        <f t="shared" si="27"/>
        <v>0</v>
      </c>
      <c r="BW48" s="19">
        <f t="shared" si="28"/>
        <v>133517364.5</v>
      </c>
      <c r="BX48" s="19">
        <f t="shared" si="29"/>
        <v>11284021089.066666</v>
      </c>
      <c r="BY48" s="19">
        <f t="shared" si="30"/>
        <v>155811505</v>
      </c>
      <c r="BZ48" s="19">
        <f t="shared" si="30"/>
        <v>69868914</v>
      </c>
    </row>
    <row r="49" spans="1:78" ht="12.75">
      <c r="A49" s="14">
        <v>8020110655</v>
      </c>
      <c r="B49" s="14">
        <v>802011065</v>
      </c>
      <c r="C49" s="14">
        <v>64500000</v>
      </c>
      <c r="D49" s="15" t="s">
        <v>82</v>
      </c>
      <c r="E49" s="16" t="s">
        <v>83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64">
        <v>3358120</v>
      </c>
      <c r="AF49" s="17">
        <v>0</v>
      </c>
      <c r="AG49" s="17"/>
      <c r="AH49" s="18"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  <c r="AN49" s="17">
        <v>0</v>
      </c>
      <c r="AO49" s="17">
        <v>0</v>
      </c>
      <c r="AP49" s="18">
        <v>167905996</v>
      </c>
      <c r="AQ49" s="18">
        <v>0</v>
      </c>
      <c r="AR49" s="18">
        <v>0</v>
      </c>
      <c r="AS49" s="18"/>
      <c r="AT49" s="18">
        <v>0</v>
      </c>
      <c r="AU49" s="19">
        <f t="shared" si="14"/>
        <v>0</v>
      </c>
      <c r="AV49" s="19">
        <f t="shared" si="15"/>
        <v>0</v>
      </c>
      <c r="AW49" s="19">
        <f t="shared" si="16"/>
        <v>1007435976</v>
      </c>
      <c r="AX49" s="19">
        <f t="shared" si="17"/>
        <v>3358120</v>
      </c>
      <c r="AY49" s="17">
        <v>0</v>
      </c>
      <c r="AZ49" s="17"/>
      <c r="BA49" s="17">
        <v>167905996</v>
      </c>
      <c r="BB49" s="17"/>
      <c r="BC49" s="19">
        <f t="shared" si="31"/>
        <v>0</v>
      </c>
      <c r="BD49" s="19">
        <f t="shared" si="32"/>
        <v>0</v>
      </c>
      <c r="BE49" s="19">
        <f t="shared" si="20"/>
        <v>1175341972</v>
      </c>
      <c r="BF49" s="19">
        <f t="shared" si="33"/>
        <v>3358120</v>
      </c>
      <c r="BG49" s="17">
        <v>0</v>
      </c>
      <c r="BH49" s="17"/>
      <c r="BI49" s="17">
        <v>167905996</v>
      </c>
      <c r="BJ49" s="17"/>
      <c r="BK49" s="17">
        <v>23506840</v>
      </c>
      <c r="BL49" s="19">
        <f t="shared" si="22"/>
        <v>0</v>
      </c>
      <c r="BM49" s="19">
        <f t="shared" si="23"/>
        <v>0</v>
      </c>
      <c r="BN49" s="19">
        <f t="shared" si="24"/>
        <v>1343247968</v>
      </c>
      <c r="BO49" s="19">
        <f t="shared" si="25"/>
        <v>3358120</v>
      </c>
      <c r="BP49" s="82">
        <f t="shared" si="26"/>
        <v>23506840</v>
      </c>
      <c r="BQ49" s="17">
        <v>0</v>
      </c>
      <c r="BR49" s="17"/>
      <c r="BS49" s="17">
        <v>167905996</v>
      </c>
      <c r="BT49" s="17"/>
      <c r="BU49" s="17">
        <v>3358120</v>
      </c>
      <c r="BV49" s="19">
        <f t="shared" si="27"/>
        <v>0</v>
      </c>
      <c r="BW49" s="19">
        <f t="shared" si="28"/>
        <v>0</v>
      </c>
      <c r="BX49" s="19">
        <f t="shared" si="29"/>
        <v>1511153964</v>
      </c>
      <c r="BY49" s="19">
        <f t="shared" si="30"/>
        <v>3358120</v>
      </c>
      <c r="BZ49" s="19">
        <f t="shared" si="30"/>
        <v>26864960</v>
      </c>
    </row>
    <row r="50" spans="1:78" ht="12.75">
      <c r="A50" s="14">
        <v>8904800545</v>
      </c>
      <c r="B50" s="14">
        <v>890480054</v>
      </c>
      <c r="C50" s="14">
        <v>824613000</v>
      </c>
      <c r="D50" s="15" t="s">
        <v>84</v>
      </c>
      <c r="E50" s="16" t="s">
        <v>85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64">
        <v>4154081</v>
      </c>
      <c r="AF50" s="17">
        <v>0</v>
      </c>
      <c r="AG50" s="17"/>
      <c r="AH50" s="18"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  <c r="AN50" s="17">
        <v>0</v>
      </c>
      <c r="AO50" s="17">
        <v>0</v>
      </c>
      <c r="AP50" s="18">
        <v>207704043</v>
      </c>
      <c r="AQ50" s="18">
        <v>0</v>
      </c>
      <c r="AR50" s="18">
        <v>0</v>
      </c>
      <c r="AS50" s="18"/>
      <c r="AT50" s="18">
        <v>0</v>
      </c>
      <c r="AU50" s="19">
        <f t="shared" si="14"/>
        <v>0</v>
      </c>
      <c r="AV50" s="19">
        <f t="shared" si="15"/>
        <v>0</v>
      </c>
      <c r="AW50" s="19">
        <f t="shared" si="16"/>
        <v>1246224258</v>
      </c>
      <c r="AX50" s="19">
        <f t="shared" si="17"/>
        <v>4154081</v>
      </c>
      <c r="AY50" s="17">
        <v>0</v>
      </c>
      <c r="AZ50" s="17"/>
      <c r="BA50" s="17">
        <v>207704043</v>
      </c>
      <c r="BB50" s="17"/>
      <c r="BC50" s="19">
        <f t="shared" si="31"/>
        <v>0</v>
      </c>
      <c r="BD50" s="19">
        <f t="shared" si="32"/>
        <v>0</v>
      </c>
      <c r="BE50" s="19">
        <f t="shared" si="20"/>
        <v>1453928301</v>
      </c>
      <c r="BF50" s="19">
        <f t="shared" si="33"/>
        <v>4154081</v>
      </c>
      <c r="BG50" s="17">
        <v>0</v>
      </c>
      <c r="BH50" s="17"/>
      <c r="BI50" s="17">
        <v>207704043</v>
      </c>
      <c r="BJ50" s="17"/>
      <c r="BK50" s="17">
        <v>29078567</v>
      </c>
      <c r="BL50" s="19">
        <f t="shared" si="22"/>
        <v>0</v>
      </c>
      <c r="BM50" s="19">
        <f t="shared" si="23"/>
        <v>0</v>
      </c>
      <c r="BN50" s="19">
        <f t="shared" si="24"/>
        <v>1661632344</v>
      </c>
      <c r="BO50" s="19">
        <f t="shared" si="25"/>
        <v>4154081</v>
      </c>
      <c r="BP50" s="82">
        <f t="shared" si="26"/>
        <v>29078567</v>
      </c>
      <c r="BQ50" s="17">
        <v>0</v>
      </c>
      <c r="BR50" s="17"/>
      <c r="BS50" s="17">
        <v>207704043</v>
      </c>
      <c r="BT50" s="17"/>
      <c r="BU50" s="17">
        <v>4154081</v>
      </c>
      <c r="BV50" s="19">
        <f t="shared" si="27"/>
        <v>0</v>
      </c>
      <c r="BW50" s="19">
        <f t="shared" si="28"/>
        <v>0</v>
      </c>
      <c r="BX50" s="19">
        <f t="shared" si="29"/>
        <v>1869336387</v>
      </c>
      <c r="BY50" s="19">
        <f t="shared" si="30"/>
        <v>4154081</v>
      </c>
      <c r="BZ50" s="19">
        <f t="shared" si="30"/>
        <v>33232648</v>
      </c>
    </row>
    <row r="51" spans="1:78" ht="12.75">
      <c r="A51" s="14">
        <v>8909801531</v>
      </c>
      <c r="B51" s="14">
        <v>890980153</v>
      </c>
      <c r="C51" s="14">
        <v>821505000</v>
      </c>
      <c r="D51" s="15" t="s">
        <v>86</v>
      </c>
      <c r="E51" s="16" t="s">
        <v>87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64">
        <v>9887849</v>
      </c>
      <c r="AF51" s="17">
        <v>0</v>
      </c>
      <c r="AG51" s="17"/>
      <c r="AH51" s="18"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  <c r="AN51" s="17">
        <v>0</v>
      </c>
      <c r="AO51" s="17">
        <v>0</v>
      </c>
      <c r="AP51" s="18">
        <v>494392467</v>
      </c>
      <c r="AQ51" s="18">
        <v>0</v>
      </c>
      <c r="AR51" s="18">
        <v>0</v>
      </c>
      <c r="AS51" s="18"/>
      <c r="AT51" s="18">
        <v>0</v>
      </c>
      <c r="AU51" s="19">
        <f t="shared" si="14"/>
        <v>0</v>
      </c>
      <c r="AV51" s="19">
        <f t="shared" si="15"/>
        <v>0</v>
      </c>
      <c r="AW51" s="19">
        <f t="shared" si="16"/>
        <v>2966354802</v>
      </c>
      <c r="AX51" s="19">
        <f t="shared" si="17"/>
        <v>9887849</v>
      </c>
      <c r="AY51" s="17">
        <v>0</v>
      </c>
      <c r="AZ51" s="17"/>
      <c r="BA51" s="17">
        <v>494392467</v>
      </c>
      <c r="BB51" s="17"/>
      <c r="BC51" s="19">
        <f t="shared" si="31"/>
        <v>0</v>
      </c>
      <c r="BD51" s="19">
        <f t="shared" si="32"/>
        <v>0</v>
      </c>
      <c r="BE51" s="19">
        <f t="shared" si="20"/>
        <v>3460747269</v>
      </c>
      <c r="BF51" s="19">
        <f t="shared" si="33"/>
        <v>9887849</v>
      </c>
      <c r="BG51" s="17">
        <v>0</v>
      </c>
      <c r="BH51" s="17"/>
      <c r="BI51" s="17">
        <v>494392467</v>
      </c>
      <c r="BJ51" s="17"/>
      <c r="BK51" s="17">
        <v>69214943</v>
      </c>
      <c r="BL51" s="19">
        <f t="shared" si="22"/>
        <v>0</v>
      </c>
      <c r="BM51" s="19">
        <f t="shared" si="23"/>
        <v>0</v>
      </c>
      <c r="BN51" s="19">
        <f t="shared" si="24"/>
        <v>3955139736</v>
      </c>
      <c r="BO51" s="19">
        <f t="shared" si="25"/>
        <v>9887849</v>
      </c>
      <c r="BP51" s="82">
        <f t="shared" si="26"/>
        <v>69214943</v>
      </c>
      <c r="BQ51" s="17">
        <v>0</v>
      </c>
      <c r="BR51" s="17"/>
      <c r="BS51" s="17">
        <v>494392467</v>
      </c>
      <c r="BT51" s="17"/>
      <c r="BU51" s="17">
        <v>9887849</v>
      </c>
      <c r="BV51" s="19">
        <f t="shared" si="27"/>
        <v>0</v>
      </c>
      <c r="BW51" s="19">
        <f t="shared" si="28"/>
        <v>0</v>
      </c>
      <c r="BX51" s="19">
        <f t="shared" si="29"/>
        <v>4449532203</v>
      </c>
      <c r="BY51" s="19">
        <f t="shared" si="30"/>
        <v>9887849</v>
      </c>
      <c r="BZ51" s="19">
        <f t="shared" si="30"/>
        <v>79102792</v>
      </c>
    </row>
    <row r="52" spans="1:78" ht="12.75">
      <c r="A52" s="27">
        <v>8909801121</v>
      </c>
      <c r="B52" s="14">
        <v>890980112</v>
      </c>
      <c r="C52" s="27">
        <v>218805088</v>
      </c>
      <c r="D52" s="28" t="s">
        <v>88</v>
      </c>
      <c r="E52" s="16" t="s">
        <v>89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64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  <c r="AN52" s="17">
        <v>0</v>
      </c>
      <c r="AO52" s="17">
        <v>0</v>
      </c>
      <c r="AP52" s="18">
        <v>0</v>
      </c>
      <c r="AQ52" s="18">
        <v>0</v>
      </c>
      <c r="AR52" s="18">
        <v>0</v>
      </c>
      <c r="AS52" s="18"/>
      <c r="AT52" s="18">
        <v>0</v>
      </c>
      <c r="AU52" s="19">
        <f t="shared" si="14"/>
        <v>0</v>
      </c>
      <c r="AV52" s="19">
        <f t="shared" si="15"/>
        <v>0</v>
      </c>
      <c r="AW52" s="19">
        <f t="shared" si="16"/>
        <v>0</v>
      </c>
      <c r="AX52" s="19">
        <f t="shared" si="17"/>
        <v>0</v>
      </c>
      <c r="AY52" s="17">
        <v>0</v>
      </c>
      <c r="AZ52" s="17"/>
      <c r="BA52" s="17">
        <v>0</v>
      </c>
      <c r="BB52" s="17"/>
      <c r="BC52" s="19">
        <f t="shared" si="31"/>
        <v>0</v>
      </c>
      <c r="BD52" s="19">
        <f t="shared" si="32"/>
        <v>0</v>
      </c>
      <c r="BE52" s="19">
        <f t="shared" si="20"/>
        <v>0</v>
      </c>
      <c r="BF52" s="19">
        <f t="shared" si="33"/>
        <v>0</v>
      </c>
      <c r="BG52" s="17">
        <v>0</v>
      </c>
      <c r="BH52" s="17"/>
      <c r="BI52" s="17">
        <v>0</v>
      </c>
      <c r="BJ52" s="17"/>
      <c r="BK52" s="17">
        <v>0</v>
      </c>
      <c r="BL52" s="19">
        <f t="shared" si="22"/>
        <v>0</v>
      </c>
      <c r="BM52" s="19">
        <f t="shared" si="23"/>
        <v>0</v>
      </c>
      <c r="BN52" s="19">
        <f t="shared" si="24"/>
        <v>0</v>
      </c>
      <c r="BO52" s="19">
        <f t="shared" si="25"/>
        <v>0</v>
      </c>
      <c r="BP52" s="82">
        <f t="shared" si="26"/>
        <v>0</v>
      </c>
      <c r="BQ52" s="17">
        <v>0</v>
      </c>
      <c r="BR52" s="17"/>
      <c r="BS52" s="17">
        <v>0</v>
      </c>
      <c r="BT52" s="17"/>
      <c r="BU52" s="17">
        <v>0</v>
      </c>
      <c r="BV52" s="19">
        <f t="shared" si="27"/>
        <v>0</v>
      </c>
      <c r="BW52" s="19">
        <f t="shared" si="28"/>
        <v>0</v>
      </c>
      <c r="BX52" s="19">
        <f t="shared" si="29"/>
        <v>0</v>
      </c>
      <c r="BY52" s="19">
        <f t="shared" si="30"/>
        <v>0</v>
      </c>
      <c r="BZ52" s="19">
        <f t="shared" si="30"/>
        <v>0</v>
      </c>
    </row>
    <row r="53" spans="1:78" ht="13.5" thickBot="1">
      <c r="A53" s="30">
        <v>8905015784</v>
      </c>
      <c r="B53" s="14">
        <v>890501578</v>
      </c>
      <c r="C53" s="31"/>
      <c r="D53" s="32" t="s">
        <v>90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64">
        <v>3491819</v>
      </c>
      <c r="AF53" s="17">
        <v>0</v>
      </c>
      <c r="AG53" s="17"/>
      <c r="AH53" s="18"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  <c r="AN53" s="17">
        <v>0</v>
      </c>
      <c r="AO53" s="17">
        <v>0</v>
      </c>
      <c r="AP53" s="18">
        <v>174590931</v>
      </c>
      <c r="AQ53" s="18">
        <v>0</v>
      </c>
      <c r="AR53" s="18">
        <v>0</v>
      </c>
      <c r="AS53" s="18"/>
      <c r="AT53" s="18">
        <v>0</v>
      </c>
      <c r="AU53" s="19">
        <f t="shared" si="14"/>
        <v>0</v>
      </c>
      <c r="AV53" s="19">
        <f t="shared" si="15"/>
        <v>0</v>
      </c>
      <c r="AW53" s="19">
        <f t="shared" si="16"/>
        <v>1047545586</v>
      </c>
      <c r="AX53" s="19">
        <f t="shared" si="17"/>
        <v>3491819</v>
      </c>
      <c r="AY53" s="17">
        <v>0</v>
      </c>
      <c r="AZ53" s="17"/>
      <c r="BA53" s="17">
        <v>174590931</v>
      </c>
      <c r="BB53" s="17"/>
      <c r="BC53" s="19">
        <f t="shared" si="31"/>
        <v>0</v>
      </c>
      <c r="BD53" s="19">
        <f t="shared" si="32"/>
        <v>0</v>
      </c>
      <c r="BE53" s="19">
        <f t="shared" si="20"/>
        <v>1222136517</v>
      </c>
      <c r="BF53" s="19">
        <f t="shared" si="33"/>
        <v>3491819</v>
      </c>
      <c r="BG53" s="17">
        <v>0</v>
      </c>
      <c r="BH53" s="17"/>
      <c r="BI53" s="17">
        <v>174590931</v>
      </c>
      <c r="BJ53" s="17"/>
      <c r="BK53" s="17">
        <v>24442733</v>
      </c>
      <c r="BL53" s="19">
        <f t="shared" si="22"/>
        <v>0</v>
      </c>
      <c r="BM53" s="19">
        <f t="shared" si="23"/>
        <v>0</v>
      </c>
      <c r="BN53" s="19">
        <f t="shared" si="24"/>
        <v>1396727448</v>
      </c>
      <c r="BO53" s="19">
        <f t="shared" si="25"/>
        <v>3491819</v>
      </c>
      <c r="BP53" s="82">
        <f t="shared" si="26"/>
        <v>24442733</v>
      </c>
      <c r="BQ53" s="17">
        <v>0</v>
      </c>
      <c r="BR53" s="17"/>
      <c r="BS53" s="17">
        <v>174590931</v>
      </c>
      <c r="BT53" s="17"/>
      <c r="BU53" s="17">
        <v>3491819</v>
      </c>
      <c r="BV53" s="19">
        <f t="shared" si="27"/>
        <v>0</v>
      </c>
      <c r="BW53" s="19">
        <f t="shared" si="28"/>
        <v>0</v>
      </c>
      <c r="BX53" s="19">
        <f t="shared" si="29"/>
        <v>1571318379</v>
      </c>
      <c r="BY53" s="19">
        <f t="shared" si="30"/>
        <v>3491819</v>
      </c>
      <c r="BZ53" s="19">
        <f t="shared" si="30"/>
        <v>27934552</v>
      </c>
    </row>
    <row r="54" spans="1:78" ht="12.75">
      <c r="A54" s="30">
        <v>8919028110</v>
      </c>
      <c r="B54" s="14">
        <v>891902811</v>
      </c>
      <c r="C54" s="77">
        <v>824376000</v>
      </c>
      <c r="D54" s="32" t="s">
        <v>91</v>
      </c>
      <c r="E54" s="44" t="s">
        <v>99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64">
        <v>7130773.6</v>
      </c>
      <c r="AF54" s="17">
        <v>0</v>
      </c>
      <c r="AG54" s="17"/>
      <c r="AH54" s="18"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  <c r="AN54" s="17">
        <v>0</v>
      </c>
      <c r="AO54" s="17">
        <v>0</v>
      </c>
      <c r="AP54" s="18">
        <v>222657248</v>
      </c>
      <c r="AQ54" s="18">
        <v>0</v>
      </c>
      <c r="AR54" s="18">
        <v>0</v>
      </c>
      <c r="AS54" s="18"/>
      <c r="AT54" s="18">
        <v>0</v>
      </c>
      <c r="AU54" s="19">
        <f t="shared" si="14"/>
        <v>0</v>
      </c>
      <c r="AV54" s="19">
        <f t="shared" si="15"/>
        <v>0</v>
      </c>
      <c r="AW54" s="19">
        <f t="shared" si="16"/>
        <v>1335943488</v>
      </c>
      <c r="AX54" s="19">
        <f t="shared" si="17"/>
        <v>7130773.6</v>
      </c>
      <c r="AY54" s="17">
        <v>0</v>
      </c>
      <c r="AZ54" s="17"/>
      <c r="BA54" s="17">
        <v>222657248</v>
      </c>
      <c r="BB54" s="17"/>
      <c r="BC54" s="19">
        <f t="shared" si="31"/>
        <v>0</v>
      </c>
      <c r="BD54" s="19">
        <f t="shared" si="32"/>
        <v>0</v>
      </c>
      <c r="BE54" s="19">
        <f t="shared" si="20"/>
        <v>1558600736</v>
      </c>
      <c r="BF54" s="19">
        <f t="shared" si="33"/>
        <v>7130773.6</v>
      </c>
      <c r="BG54" s="17">
        <v>0</v>
      </c>
      <c r="BH54" s="17"/>
      <c r="BI54" s="17">
        <v>222657248</v>
      </c>
      <c r="BJ54" s="17"/>
      <c r="BK54" s="17">
        <v>31172015</v>
      </c>
      <c r="BL54" s="19">
        <f t="shared" si="22"/>
        <v>0</v>
      </c>
      <c r="BM54" s="19">
        <f t="shared" si="23"/>
        <v>0</v>
      </c>
      <c r="BN54" s="19">
        <f t="shared" si="24"/>
        <v>1781257984</v>
      </c>
      <c r="BO54" s="19">
        <f t="shared" si="25"/>
        <v>7130773.6</v>
      </c>
      <c r="BP54" s="82">
        <f t="shared" si="26"/>
        <v>31172015</v>
      </c>
      <c r="BQ54" s="17">
        <v>0</v>
      </c>
      <c r="BR54" s="17"/>
      <c r="BS54" s="17">
        <v>222657248</v>
      </c>
      <c r="BT54" s="17"/>
      <c r="BU54" s="17">
        <v>4453145</v>
      </c>
      <c r="BV54" s="19">
        <f t="shared" si="27"/>
        <v>0</v>
      </c>
      <c r="BW54" s="19">
        <f t="shared" si="28"/>
        <v>0</v>
      </c>
      <c r="BX54" s="19">
        <f t="shared" si="29"/>
        <v>2003915232</v>
      </c>
      <c r="BY54" s="19">
        <f t="shared" si="30"/>
        <v>7130773.6</v>
      </c>
      <c r="BZ54" s="19">
        <f t="shared" si="30"/>
        <v>35625160</v>
      </c>
    </row>
    <row r="55" spans="1:78" ht="24" customHeight="1">
      <c r="A55" s="33" t="s">
        <v>92</v>
      </c>
      <c r="B55" s="61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 aca="true" t="shared" si="34" ref="AD55:AI55">SUM(AD4:AD54)</f>
        <v>669829041018.8666</v>
      </c>
      <c r="AE55" s="38">
        <f t="shared" si="34"/>
        <v>3030379955.3399997</v>
      </c>
      <c r="AF55" s="37">
        <f t="shared" si="34"/>
        <v>14415080358</v>
      </c>
      <c r="AG55" s="37">
        <f t="shared" si="34"/>
        <v>0</v>
      </c>
      <c r="AH55" s="37">
        <f t="shared" si="34"/>
        <v>144877128612</v>
      </c>
      <c r="AI55" s="37">
        <f t="shared" si="34"/>
        <v>5739835.76</v>
      </c>
      <c r="AJ55" s="38">
        <f>SUM(AJ4:AJ52)</f>
        <v>72075406154.06667</v>
      </c>
      <c r="AK55" s="38">
        <f>SUM(AK4:AK52)</f>
        <v>60762945639</v>
      </c>
      <c r="AL55" s="38">
        <f aca="true" t="shared" si="35" ref="AL55:AT55">SUM(AL4:AL54)</f>
        <v>814706169630.8665</v>
      </c>
      <c r="AM55" s="38">
        <f t="shared" si="35"/>
        <v>3036119791.1</v>
      </c>
      <c r="AN55" s="37">
        <f t="shared" si="35"/>
        <v>28830169444</v>
      </c>
      <c r="AO55" s="37">
        <f t="shared" si="35"/>
        <v>22524287411.5</v>
      </c>
      <c r="AP55" s="37">
        <f t="shared" si="35"/>
        <v>266187916239</v>
      </c>
      <c r="AQ55" s="37">
        <f t="shared" si="35"/>
        <v>66000000000</v>
      </c>
      <c r="AR55" s="37">
        <f t="shared" si="35"/>
        <v>27623624798</v>
      </c>
      <c r="AS55" s="37">
        <f t="shared" si="35"/>
        <v>337000173.79999924</v>
      </c>
      <c r="AT55" s="37">
        <f t="shared" si="35"/>
        <v>22137489426.2</v>
      </c>
      <c r="AU55" s="38">
        <f>SUM(AU4:AU52)</f>
        <v>100905575598.06667</v>
      </c>
      <c r="AV55" s="38">
        <f>SUM(AV4:AV52)</f>
        <v>83287233050.5</v>
      </c>
      <c r="AW55" s="38">
        <f>SUM(AW4:AW54)</f>
        <v>1174854710841.6667</v>
      </c>
      <c r="AX55" s="38">
        <f>SUM(AX4:AX54)</f>
        <v>25173609217.3</v>
      </c>
      <c r="AY55" s="37">
        <f>SUM(AY4:AY54)</f>
        <v>14415084722</v>
      </c>
      <c r="AZ55" s="37">
        <f>SUM(AZ4:AZ54)</f>
        <v>0</v>
      </c>
      <c r="BA55" s="37">
        <f>SUM(BA4:BA54)</f>
        <v>134547046593</v>
      </c>
      <c r="BB55" s="37">
        <f>SUM(BB4:BB54)</f>
        <v>4422979.37</v>
      </c>
      <c r="BC55" s="38">
        <f>SUM(BC4:BC52)</f>
        <v>115320660320.06667</v>
      </c>
      <c r="BD55" s="38">
        <f>SUM(BD4:BD52)</f>
        <v>83287233050.5</v>
      </c>
      <c r="BE55" s="38">
        <f>SUM(BE4:BE54)</f>
        <v>1309401757434.6667</v>
      </c>
      <c r="BF55" s="38">
        <f>SUM(BF4:BF54)</f>
        <v>25178032196.67</v>
      </c>
      <c r="BG55" s="37">
        <f>SUM(BG4:BG54)</f>
        <v>14415084722</v>
      </c>
      <c r="BH55" s="37">
        <f>SUM(BH4:BH54)</f>
        <v>0</v>
      </c>
      <c r="BI55" s="37">
        <f>SUM(BI4:BI54)</f>
        <v>134547046593</v>
      </c>
      <c r="BJ55" s="37">
        <f>SUM(BJ4:BJ54)</f>
        <v>3282347.6799999997</v>
      </c>
      <c r="BK55" s="37">
        <f>SUM(BK4:BK54)</f>
        <v>7487140627</v>
      </c>
      <c r="BL55" s="38">
        <f>SUM(BL4:BL52)</f>
        <v>129735745042.06667</v>
      </c>
      <c r="BM55" s="38">
        <f>SUM(BM4:BM52)</f>
        <v>83287233050.5</v>
      </c>
      <c r="BN55" s="38">
        <f>SUM(BN4:BN54)</f>
        <v>1443948804027.6667</v>
      </c>
      <c r="BO55" s="38">
        <f>SUM(BO4:BO54)</f>
        <v>25181314544.35</v>
      </c>
      <c r="BP55" s="38">
        <f>SUM(BP4:BP54)</f>
        <v>7487140627</v>
      </c>
      <c r="BQ55" s="37">
        <f>SUM(BQ4:BQ54)</f>
        <v>14415084722</v>
      </c>
      <c r="BR55" s="37">
        <f>SUM(BR4:BR54)</f>
        <v>0</v>
      </c>
      <c r="BS55" s="37">
        <f>SUM(BS4:BS54)</f>
        <v>166384391584</v>
      </c>
      <c r="BT55" s="37">
        <f>SUM(BT4:BT54)</f>
        <v>3582892.32</v>
      </c>
      <c r="BU55" s="37">
        <f>SUM(BU4:BU54)</f>
        <v>3604280622</v>
      </c>
      <c r="BV55" s="38">
        <f>SUM(BV4:BV52)</f>
        <v>144150829764.06665</v>
      </c>
      <c r="BW55" s="38">
        <f>SUM(BW4:BW52)</f>
        <v>83287233050.5</v>
      </c>
      <c r="BX55" s="38">
        <f>SUM(BX4:BX54)</f>
        <v>1610333195611.6667</v>
      </c>
      <c r="BY55" s="38">
        <f>SUM(BY4:BY54)</f>
        <v>25184897436.67</v>
      </c>
      <c r="BZ55" s="38">
        <f>SUM(BZ4:BZ54)</f>
        <v>11091421249</v>
      </c>
    </row>
    <row r="56" spans="8:12" ht="15">
      <c r="H56" s="40"/>
      <c r="J56" s="39"/>
      <c r="K56" s="39"/>
      <c r="L56" s="39"/>
    </row>
    <row r="57" spans="8:77" ht="15">
      <c r="H57" s="41">
        <f>+H45*2%</f>
        <v>27533073.589333333</v>
      </c>
      <c r="J57" s="42"/>
      <c r="K57" s="42"/>
      <c r="L57" s="42"/>
      <c r="M57" s="41">
        <f>+M45*2%</f>
        <v>0</v>
      </c>
      <c r="N57" s="41">
        <f>+N45*2%</f>
        <v>0</v>
      </c>
      <c r="O57" s="41">
        <f>+O45*2%</f>
        <v>55066147.2</v>
      </c>
      <c r="S57" s="41">
        <f>+S45*2%</f>
        <v>0</v>
      </c>
      <c r="T57" s="41">
        <f>+T45*2%</f>
        <v>0</v>
      </c>
      <c r="U57" s="41">
        <f>+U45*2%</f>
        <v>27533073.6</v>
      </c>
      <c r="Y57" s="41">
        <f>+Y45*2%</f>
        <v>0</v>
      </c>
      <c r="Z57" s="41">
        <f>+Z45*2%</f>
        <v>15398257.16</v>
      </c>
      <c r="AA57" s="41">
        <f>+AA45*2%</f>
        <v>27533073.6</v>
      </c>
      <c r="AD57" s="83">
        <f>+AD54*2%</f>
        <v>17812579.84</v>
      </c>
      <c r="AF57" s="41">
        <f>+AF45*2%</f>
        <v>0</v>
      </c>
      <c r="AG57" s="41">
        <f>+AG45*2%</f>
        <v>0</v>
      </c>
      <c r="AH57" s="41">
        <f>+AH45*2%</f>
        <v>32355324.42</v>
      </c>
      <c r="AN57" s="41">
        <f aca="true" t="shared" si="36" ref="AN57:AS57">+AN45*2%</f>
        <v>0</v>
      </c>
      <c r="AO57" s="41">
        <f t="shared" si="36"/>
        <v>4291306.14</v>
      </c>
      <c r="AP57" s="41">
        <f t="shared" si="36"/>
        <v>55066147.2</v>
      </c>
      <c r="AQ57" s="41">
        <f t="shared" si="36"/>
        <v>36160152.04</v>
      </c>
      <c r="AR57" s="41">
        <f t="shared" si="36"/>
        <v>711591.62</v>
      </c>
      <c r="AS57" s="41">
        <f t="shared" si="36"/>
        <v>0</v>
      </c>
      <c r="AT57" s="42">
        <f>SUM(F57:AS57)</f>
        <v>299460726.40933335</v>
      </c>
      <c r="AY57" s="41" t="s">
        <v>93</v>
      </c>
      <c r="BO57" s="83">
        <v>25184897436.67</v>
      </c>
      <c r="BW57" s="83">
        <f>+BW45*98%</f>
        <v>964788601.6999999</v>
      </c>
      <c r="BX57" s="83">
        <f>+BX45*98%</f>
        <v>17194993955.477333</v>
      </c>
      <c r="BY57" s="83">
        <v>25184897436.67</v>
      </c>
    </row>
    <row r="58" spans="8:76" ht="15" customHeight="1">
      <c r="H58" s="41" t="s">
        <v>93</v>
      </c>
      <c r="Y58" s="67"/>
      <c r="Z58" s="66"/>
      <c r="AE58" s="42"/>
      <c r="AM58" s="42"/>
      <c r="AT58" s="42">
        <f>+AT57-AX45</f>
        <v>55063436.40933335</v>
      </c>
      <c r="BO58" s="42">
        <f>+BO57-BO55</f>
        <v>3582892.319999695</v>
      </c>
      <c r="BW58" s="83">
        <f>+BW45*2%</f>
        <v>19689563.3</v>
      </c>
      <c r="BX58" s="83">
        <f>+BX45*2%</f>
        <v>350918243.98933333</v>
      </c>
    </row>
    <row r="59" spans="8:26" ht="15">
      <c r="H59" s="41" t="s">
        <v>93</v>
      </c>
      <c r="Y59" s="65"/>
      <c r="Z59" s="66"/>
    </row>
    <row r="60" spans="25:26" ht="15">
      <c r="Y60" s="66"/>
      <c r="Z60" s="66"/>
    </row>
  </sheetData>
  <sheetProtection/>
  <autoFilter ref="BQ3:BU55"/>
  <mergeCells count="18">
    <mergeCell ref="BV2:BZ2"/>
    <mergeCell ref="BL2:BP2"/>
    <mergeCell ref="BG2:BK2"/>
    <mergeCell ref="BQ2:BU2"/>
    <mergeCell ref="AY2:BB2"/>
    <mergeCell ref="BC2:BF2"/>
    <mergeCell ref="F2:I2"/>
    <mergeCell ref="J2:L2"/>
    <mergeCell ref="M2:O2"/>
    <mergeCell ref="P2:R2"/>
    <mergeCell ref="S2:U2"/>
    <mergeCell ref="AN2:AT2"/>
    <mergeCell ref="AU2:AX2"/>
    <mergeCell ref="AB2:AE2"/>
    <mergeCell ref="AJ2:AM2"/>
    <mergeCell ref="V2:X2"/>
    <mergeCell ref="Y2:AA2"/>
    <mergeCell ref="AF2:AI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.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</hyperlinks>
  <printOptions/>
  <pageMargins left="0.7" right="0.7" top="0.75" bottom="0.75" header="0.3" footer="0.3"/>
  <pageSetup horizontalDpi="600" verticalDpi="600" orientation="portrait" paperSize="9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9">
      <selection activeCell="A43" sqref="A4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62" t="s">
        <v>103</v>
      </c>
      <c r="F1" s="72" t="s">
        <v>170</v>
      </c>
    </row>
    <row r="2" spans="1:5" ht="15">
      <c r="A2" s="70" t="s">
        <v>154</v>
      </c>
      <c r="B2" s="70" t="s">
        <v>1</v>
      </c>
      <c r="C2" s="70" t="s">
        <v>189</v>
      </c>
      <c r="D2" s="70" t="s">
        <v>155</v>
      </c>
      <c r="E2" s="70" t="s">
        <v>190</v>
      </c>
    </row>
    <row r="3" spans="1:6" ht="15">
      <c r="A3" s="45" t="s">
        <v>104</v>
      </c>
      <c r="B3" s="14">
        <v>8919008530</v>
      </c>
      <c r="C3" s="46">
        <v>130990116</v>
      </c>
      <c r="D3" s="46">
        <f>373318+12220841</f>
        <v>12594159</v>
      </c>
      <c r="E3" s="47">
        <f>+C3+D3</f>
        <v>143584275</v>
      </c>
      <c r="F3" s="69"/>
    </row>
    <row r="4" spans="1:6" ht="15">
      <c r="A4" s="45" t="s">
        <v>105</v>
      </c>
      <c r="B4" s="14">
        <v>8001448299</v>
      </c>
      <c r="C4" s="46">
        <f>951267313+101323680+46934047</f>
        <v>1099525040</v>
      </c>
      <c r="D4" s="46">
        <f>48590006+98372505</f>
        <v>146962511</v>
      </c>
      <c r="E4" s="47">
        <f aca="true" t="shared" si="0" ref="E4:E27">+C4+D4</f>
        <v>1246487551</v>
      </c>
      <c r="F4" s="69"/>
    </row>
    <row r="5" spans="1:6" ht="15">
      <c r="A5" s="45" t="s">
        <v>106</v>
      </c>
      <c r="B5" s="14">
        <v>8909800408</v>
      </c>
      <c r="C5" s="46">
        <f>14972203142+55947352+1571826171</f>
        <v>16599976665</v>
      </c>
      <c r="D5" s="46">
        <f>45966213+1526044826</f>
        <v>1572011039</v>
      </c>
      <c r="E5" s="47">
        <f t="shared" si="0"/>
        <v>18171987704</v>
      </c>
      <c r="F5" s="69"/>
    </row>
    <row r="6" spans="1:6" ht="15">
      <c r="A6" s="45" t="s">
        <v>107</v>
      </c>
      <c r="B6" s="14">
        <v>8908010630</v>
      </c>
      <c r="C6" s="46">
        <f>3708425975+68225237+500889900</f>
        <v>4277541112</v>
      </c>
      <c r="D6" s="46">
        <f>14855335+486300873</f>
        <v>501156208</v>
      </c>
      <c r="E6" s="47">
        <f t="shared" si="0"/>
        <v>4778697320</v>
      </c>
      <c r="F6" s="73"/>
    </row>
    <row r="7" spans="1:8" ht="15">
      <c r="A7" s="45" t="s">
        <v>108</v>
      </c>
      <c r="B7" s="14">
        <v>8904801235</v>
      </c>
      <c r="C7" s="46">
        <f>3963436453+65497835+419229409</f>
        <v>4448163697</v>
      </c>
      <c r="D7" s="46">
        <f>12433458+407018844</f>
        <v>419452302</v>
      </c>
      <c r="E7" s="47">
        <f t="shared" si="0"/>
        <v>4867615999</v>
      </c>
      <c r="F7" s="69"/>
      <c r="G7" s="68"/>
      <c r="H7" s="68"/>
    </row>
    <row r="8" spans="1:8" ht="15">
      <c r="A8" s="45" t="s">
        <v>109</v>
      </c>
      <c r="B8" s="14">
        <v>8910800313</v>
      </c>
      <c r="C8" s="46">
        <f>3728949469+49371722+578544420</f>
        <v>4356865611</v>
      </c>
      <c r="D8" s="46">
        <f>17094898+561693613</f>
        <v>578788511</v>
      </c>
      <c r="E8" s="47">
        <f t="shared" si="0"/>
        <v>4935654122</v>
      </c>
      <c r="F8" s="73"/>
      <c r="G8" s="68"/>
      <c r="H8" s="68"/>
    </row>
    <row r="9" spans="1:8" ht="15">
      <c r="A9" s="45" t="s">
        <v>110</v>
      </c>
      <c r="B9" s="14">
        <v>8906800622</v>
      </c>
      <c r="C9" s="46">
        <f>629159489+44447116+63815895</f>
        <v>737422500</v>
      </c>
      <c r="D9" s="46">
        <f>38266521+61957180</f>
        <v>100223701</v>
      </c>
      <c r="E9" s="47">
        <f t="shared" si="0"/>
        <v>837646201</v>
      </c>
      <c r="F9" s="73"/>
      <c r="G9" s="68"/>
      <c r="H9" s="68"/>
    </row>
    <row r="10" spans="1:8" ht="15">
      <c r="A10" s="45" t="s">
        <v>111</v>
      </c>
      <c r="B10" s="14">
        <v>8911903461</v>
      </c>
      <c r="C10" s="46">
        <f>1224166589+45703186+128152028</f>
        <v>1398021803</v>
      </c>
      <c r="D10" s="46">
        <f>50050293+124419444</f>
        <v>174469737</v>
      </c>
      <c r="E10" s="47">
        <f t="shared" si="0"/>
        <v>1572491540</v>
      </c>
      <c r="F10" s="73"/>
      <c r="G10" s="68"/>
      <c r="H10" s="68"/>
    </row>
    <row r="11" spans="1:8" ht="15">
      <c r="A11" s="45" t="s">
        <v>112</v>
      </c>
      <c r="B11" s="14">
        <v>8921150294</v>
      </c>
      <c r="C11" s="46">
        <f>1013496213+41566789+130308308</f>
        <v>1185371310</v>
      </c>
      <c r="D11" s="46">
        <f>44692021+97386707</f>
        <v>142078728</v>
      </c>
      <c r="E11" s="47">
        <f t="shared" si="0"/>
        <v>1327450038</v>
      </c>
      <c r="F11" s="69"/>
      <c r="G11" s="68"/>
      <c r="H11" s="68"/>
    </row>
    <row r="12" spans="1:9" ht="15">
      <c r="A12" s="45" t="s">
        <v>113</v>
      </c>
      <c r="B12" s="14">
        <v>8920007573</v>
      </c>
      <c r="C12" s="46">
        <f>1424066128+56076494+150065907</f>
        <v>1630208529</v>
      </c>
      <c r="D12" s="46">
        <f>4450637+145695056</f>
        <v>150145693</v>
      </c>
      <c r="E12" s="47">
        <f t="shared" si="0"/>
        <v>1780354222</v>
      </c>
      <c r="F12" s="73"/>
      <c r="G12" s="68"/>
      <c r="H12" s="69"/>
      <c r="I12" s="60"/>
    </row>
    <row r="13" spans="1:9" ht="15">
      <c r="A13" s="45" t="s">
        <v>114</v>
      </c>
      <c r="B13" s="14">
        <v>8001189541</v>
      </c>
      <c r="C13" s="46">
        <f>3071842701+67947336+323457266</f>
        <v>3463247303</v>
      </c>
      <c r="D13" s="46">
        <f>9491159+314036182</f>
        <v>323527341</v>
      </c>
      <c r="E13" s="47">
        <f t="shared" si="0"/>
        <v>3786774644</v>
      </c>
      <c r="F13" s="69"/>
      <c r="H13" s="60"/>
      <c r="I13" s="60"/>
    </row>
    <row r="14" spans="1:9" ht="15">
      <c r="A14" s="45" t="s">
        <v>115</v>
      </c>
      <c r="B14" s="14">
        <v>8905015104</v>
      </c>
      <c r="C14" s="46">
        <f>1899441098+41522754+196446111</f>
        <v>2137409963</v>
      </c>
      <c r="D14" s="46">
        <f>56823035+191024379</f>
        <v>247847414</v>
      </c>
      <c r="E14" s="47">
        <f t="shared" si="0"/>
        <v>2385257377</v>
      </c>
      <c r="F14" s="69"/>
      <c r="H14" s="60"/>
      <c r="I14" s="60"/>
    </row>
    <row r="15" spans="1:9" ht="15">
      <c r="A15" s="45" t="s">
        <v>116</v>
      </c>
      <c r="B15" s="14">
        <v>8922003239</v>
      </c>
      <c r="C15" s="46">
        <f>940595685+47692388+97231254</f>
        <v>1085519327</v>
      </c>
      <c r="D15" s="46">
        <f>49825817+94399276</f>
        <v>144225093</v>
      </c>
      <c r="E15" s="47">
        <f t="shared" si="0"/>
        <v>1229744420</v>
      </c>
      <c r="F15" s="69"/>
      <c r="H15" s="60"/>
      <c r="I15" s="60"/>
    </row>
    <row r="16" spans="1:9" ht="15">
      <c r="A16" s="45" t="s">
        <v>117</v>
      </c>
      <c r="B16" s="14">
        <v>8901022573</v>
      </c>
      <c r="C16" s="46">
        <f>5697094938+48720300+604302445</f>
        <v>6350117683</v>
      </c>
      <c r="D16" s="46">
        <f>17877820+586701404</f>
        <v>604579224</v>
      </c>
      <c r="E16" s="47">
        <f t="shared" si="0"/>
        <v>6954696907</v>
      </c>
      <c r="F16" s="69"/>
      <c r="H16" s="60"/>
      <c r="I16" s="60"/>
    </row>
    <row r="17" spans="1:9" ht="15">
      <c r="A17" s="45" t="s">
        <v>118</v>
      </c>
      <c r="B17" s="14">
        <v>8915003192</v>
      </c>
      <c r="C17" s="46">
        <f>4975500354+45394943+640431832</f>
        <v>5661327129</v>
      </c>
      <c r="D17" s="46">
        <f>18853966+621778477</f>
        <v>640632443</v>
      </c>
      <c r="E17" s="47">
        <f t="shared" si="0"/>
        <v>6301959572</v>
      </c>
      <c r="F17" s="73"/>
      <c r="H17" s="60"/>
      <c r="I17" s="60"/>
    </row>
    <row r="18" spans="1:9" ht="15">
      <c r="A18" s="45" t="s">
        <v>119</v>
      </c>
      <c r="B18" s="14">
        <v>8917801118</v>
      </c>
      <c r="C18" s="46">
        <f>2374824105+59873325+248589662</f>
        <v>2683287092</v>
      </c>
      <c r="D18" s="46">
        <f>51872839+241349187</f>
        <v>293222026</v>
      </c>
      <c r="E18" s="47">
        <f t="shared" si="0"/>
        <v>2976509118</v>
      </c>
      <c r="F18" s="69"/>
      <c r="H18" s="60"/>
      <c r="I18" s="60"/>
    </row>
    <row r="19" spans="1:9" ht="15">
      <c r="A19" s="45" t="s">
        <v>120</v>
      </c>
      <c r="B19" s="14">
        <v>8350003004</v>
      </c>
      <c r="C19" s="46">
        <f>622486385+55890881+63246606</f>
        <v>741623872</v>
      </c>
      <c r="D19" s="46">
        <f>43178098+61404472</f>
        <v>104582570</v>
      </c>
      <c r="E19" s="47">
        <f t="shared" si="0"/>
        <v>846206442</v>
      </c>
      <c r="F19" s="73"/>
      <c r="H19" s="60"/>
      <c r="I19" s="60"/>
    </row>
    <row r="20" spans="1:9" ht="15">
      <c r="A20" s="45" t="s">
        <v>121</v>
      </c>
      <c r="B20" s="14">
        <v>8900004328</v>
      </c>
      <c r="C20" s="46">
        <f>2557443588+52756051+269481532</f>
        <v>2879681171</v>
      </c>
      <c r="D20" s="46">
        <f>49537293+261632555</f>
        <v>311169848</v>
      </c>
      <c r="E20" s="47">
        <f t="shared" si="0"/>
        <v>3190851019</v>
      </c>
      <c r="F20" s="69"/>
      <c r="H20" s="60"/>
      <c r="I20" s="60"/>
    </row>
    <row r="21" spans="1:9" ht="15">
      <c r="A21" s="45" t="s">
        <v>122</v>
      </c>
      <c r="B21" s="14">
        <v>8907006407</v>
      </c>
      <c r="C21" s="46">
        <f>2234876433+51983992+234237226</f>
        <v>2521097651</v>
      </c>
      <c r="D21" s="46">
        <f>49788532+227414783</f>
        <v>277203315</v>
      </c>
      <c r="E21" s="47">
        <f t="shared" si="0"/>
        <v>2798300966</v>
      </c>
      <c r="F21" s="69"/>
      <c r="H21" s="60"/>
      <c r="I21" s="60"/>
    </row>
    <row r="22" spans="1:9" ht="15">
      <c r="A22" s="45" t="s">
        <v>123</v>
      </c>
      <c r="B22" s="14">
        <v>8903990106</v>
      </c>
      <c r="C22" s="46">
        <f>11248446676+61889657+1179848226</f>
        <v>12490184559</v>
      </c>
      <c r="D22" s="46">
        <f>34468566+1145483715</f>
        <v>1179952281</v>
      </c>
      <c r="E22" s="47">
        <f t="shared" si="0"/>
        <v>13670136840</v>
      </c>
      <c r="F22" s="69"/>
      <c r="H22" s="60"/>
      <c r="I22" s="60"/>
    </row>
    <row r="23" spans="1:9" ht="15">
      <c r="A23" s="45" t="s">
        <v>124</v>
      </c>
      <c r="B23" s="14">
        <v>8999992307</v>
      </c>
      <c r="C23" s="46">
        <f>887318095+41331524+94331390</f>
        <v>1022981009</v>
      </c>
      <c r="D23" s="46">
        <f>2797670+91583874</f>
        <v>94381544</v>
      </c>
      <c r="E23" s="47">
        <f t="shared" si="0"/>
        <v>1117362553</v>
      </c>
      <c r="F23" s="69"/>
      <c r="H23" s="60"/>
      <c r="I23" s="60"/>
    </row>
    <row r="24" spans="1:9" ht="15">
      <c r="A24" s="45" t="s">
        <v>125</v>
      </c>
      <c r="B24" s="14">
        <v>8905006226</v>
      </c>
      <c r="C24" s="46">
        <f>1652274771+49717475+174000376</f>
        <v>1875992622</v>
      </c>
      <c r="D24" s="46">
        <f>55610268+168932403</f>
        <v>224542671</v>
      </c>
      <c r="E24" s="47">
        <f t="shared" si="0"/>
        <v>2100535293</v>
      </c>
      <c r="F24" s="69"/>
      <c r="H24" s="60"/>
      <c r="I24" s="60"/>
    </row>
    <row r="25" spans="1:6" ht="15">
      <c r="A25" s="45" t="s">
        <v>126</v>
      </c>
      <c r="B25" s="21">
        <v>8001631300</v>
      </c>
      <c r="C25" s="46">
        <f>631905580+49733673+61831028</f>
        <v>743470281</v>
      </c>
      <c r="D25" s="46">
        <f>49100801+60030125</f>
        <v>109130926</v>
      </c>
      <c r="E25" s="47">
        <f t="shared" si="0"/>
        <v>852601207</v>
      </c>
      <c r="F25" s="69"/>
    </row>
    <row r="26" spans="1:6" ht="15">
      <c r="A26" s="45" t="s">
        <v>127</v>
      </c>
      <c r="B26" s="14">
        <v>8902012134</v>
      </c>
      <c r="C26" s="46">
        <f>5959724991+60569859+626502323</f>
        <v>6646797173</v>
      </c>
      <c r="D26" s="46">
        <f>18348935+608254682</f>
        <v>626603617</v>
      </c>
      <c r="E26" s="47">
        <f t="shared" si="0"/>
        <v>7273400790</v>
      </c>
      <c r="F26" s="69"/>
    </row>
    <row r="27" spans="1:8" ht="15">
      <c r="A27" s="45" t="s">
        <v>128</v>
      </c>
      <c r="B27" s="14">
        <v>8002253408</v>
      </c>
      <c r="C27" s="46">
        <f>593070706+59446929+59080342</f>
        <v>711597977</v>
      </c>
      <c r="D27" s="46">
        <f>1619354+57359556</f>
        <v>58978910</v>
      </c>
      <c r="E27" s="47">
        <f t="shared" si="0"/>
        <v>770576887</v>
      </c>
      <c r="F27" s="69"/>
      <c r="G27" s="68"/>
      <c r="H27" s="68"/>
    </row>
    <row r="28" spans="1:8" ht="15">
      <c r="A28" s="45" t="s">
        <v>129</v>
      </c>
      <c r="B28" s="14">
        <v>8999990633</v>
      </c>
      <c r="C28" s="46">
        <f>31816169687+69226613+4468048494</f>
        <v>36353444794</v>
      </c>
      <c r="D28" s="46">
        <f>132029123+4337911155</f>
        <v>4469940278</v>
      </c>
      <c r="E28" s="47">
        <f>+C28+D28</f>
        <v>40823385072</v>
      </c>
      <c r="F28" s="73"/>
      <c r="G28" s="68"/>
      <c r="H28" s="68"/>
    </row>
    <row r="29" spans="1:8" ht="15">
      <c r="A29" s="45" t="s">
        <v>130</v>
      </c>
      <c r="B29" s="14">
        <v>8999991244</v>
      </c>
      <c r="C29" s="46">
        <f>3145405352+54047164+332489559</f>
        <v>3531942075</v>
      </c>
      <c r="D29" s="46">
        <f>9775665+322805398</f>
        <v>332581063</v>
      </c>
      <c r="E29" s="47">
        <f>+C29+D29</f>
        <v>3864523138</v>
      </c>
      <c r="F29" s="73"/>
      <c r="G29" s="68"/>
      <c r="H29" s="68"/>
    </row>
    <row r="30" spans="1:8" ht="15">
      <c r="A30" s="45" t="s">
        <v>131</v>
      </c>
      <c r="B30" s="63">
        <v>8918003301</v>
      </c>
      <c r="C30" s="46">
        <f>5968662183+50692091+628587301</f>
        <v>6647941575</v>
      </c>
      <c r="D30" s="46">
        <f>18404882+610278933</f>
        <v>628683815</v>
      </c>
      <c r="E30" s="47">
        <f>+C30+D30</f>
        <v>7276625390</v>
      </c>
      <c r="F30" s="73"/>
      <c r="G30" s="68"/>
      <c r="H30" s="68"/>
    </row>
    <row r="31" spans="1:8" ht="15">
      <c r="A31" s="45" t="s">
        <v>132</v>
      </c>
      <c r="B31" s="14">
        <v>8923002856</v>
      </c>
      <c r="C31" s="46">
        <f>1337270761+39618633+141258849</f>
        <v>1518148243</v>
      </c>
      <c r="D31" s="46">
        <f>39382919+137144514</f>
        <v>176527433</v>
      </c>
      <c r="E31" s="47">
        <f>+C31+D31</f>
        <v>1694675676</v>
      </c>
      <c r="F31" s="73"/>
      <c r="G31" s="68"/>
      <c r="H31" s="68"/>
    </row>
    <row r="32" spans="1:6" ht="15">
      <c r="A32" s="45" t="s">
        <v>133</v>
      </c>
      <c r="B32" s="14">
        <v>8916800894</v>
      </c>
      <c r="C32" s="46">
        <f>2125275089+52279047+233643839</f>
        <v>2411197975</v>
      </c>
      <c r="D32" s="46">
        <f>68482960+226838679</f>
        <v>295321639</v>
      </c>
      <c r="E32" s="47">
        <f>+C32+D32</f>
        <v>2706519614</v>
      </c>
      <c r="F32" s="73"/>
    </row>
    <row r="33" spans="1:6" ht="15">
      <c r="A33" s="45" t="s">
        <v>134</v>
      </c>
      <c r="B33" s="14">
        <v>8911800842</v>
      </c>
      <c r="C33" s="46">
        <f>2594232880+54219206+271858641</f>
        <v>2920310727</v>
      </c>
      <c r="D33" s="46">
        <f>7967839+263940428</f>
        <v>271908267</v>
      </c>
      <c r="E33" s="47">
        <f>+C33+D33</f>
        <v>3192218994</v>
      </c>
      <c r="F33" s="73"/>
    </row>
    <row r="34" spans="1:6" ht="15">
      <c r="A34" s="45" t="s">
        <v>135</v>
      </c>
      <c r="B34" s="14">
        <v>8914800359</v>
      </c>
      <c r="C34" s="46">
        <f>4439153766+69353114+496271174</f>
        <v>5004778054</v>
      </c>
      <c r="D34" s="46">
        <f>14561204+481816674</f>
        <v>496377878</v>
      </c>
      <c r="E34" s="47">
        <f>+C34+D34</f>
        <v>5501155932</v>
      </c>
      <c r="F34" s="73"/>
    </row>
    <row r="35" spans="1:6" ht="24.75">
      <c r="A35" s="45" t="s">
        <v>136</v>
      </c>
      <c r="B35" s="14">
        <v>8605127804</v>
      </c>
      <c r="C35" s="46">
        <f>2014548670+39720375+205390363</f>
        <v>2259659408</v>
      </c>
      <c r="D35" s="46">
        <f>43160286+199408120</f>
        <v>242568406</v>
      </c>
      <c r="E35" s="47">
        <f>+C35+D35</f>
        <v>2502227814</v>
      </c>
      <c r="F35" s="73"/>
    </row>
    <row r="36" spans="1:6" ht="15">
      <c r="A36" s="49" t="s">
        <v>137</v>
      </c>
      <c r="B36" s="50"/>
      <c r="C36" s="51">
        <f>SUM(C3:C35)</f>
        <v>147525844046</v>
      </c>
      <c r="D36" s="51">
        <f>SUM(D3:D35)</f>
        <v>15952370591</v>
      </c>
      <c r="E36" s="51">
        <f>+C36+D36</f>
        <v>163478214637</v>
      </c>
      <c r="F36" s="51">
        <f>SUM(F3:F35)</f>
        <v>0</v>
      </c>
    </row>
    <row r="37" spans="1:6" ht="15">
      <c r="A37" s="52" t="s">
        <v>138</v>
      </c>
      <c r="B37" s="53">
        <v>8918002604</v>
      </c>
      <c r="C37" s="79">
        <v>393245961</v>
      </c>
      <c r="E37" s="47"/>
      <c r="F37" s="68"/>
    </row>
    <row r="38" spans="1:6" ht="15">
      <c r="A38" s="52" t="s">
        <v>139</v>
      </c>
      <c r="B38" s="53">
        <v>8907009060</v>
      </c>
      <c r="C38" s="79">
        <v>63845174</v>
      </c>
      <c r="E38" s="47"/>
      <c r="F38" s="68"/>
    </row>
    <row r="39" spans="1:6" ht="15">
      <c r="A39" s="54" t="s">
        <v>43</v>
      </c>
      <c r="B39" s="53">
        <v>8909801341</v>
      </c>
      <c r="C39" s="79">
        <v>208672338</v>
      </c>
      <c r="E39" s="47"/>
      <c r="F39" s="68"/>
    </row>
    <row r="40" spans="1:6" ht="15">
      <c r="A40" s="54" t="s">
        <v>56</v>
      </c>
      <c r="B40" s="53">
        <v>8915007591</v>
      </c>
      <c r="C40" s="79">
        <v>262777234</v>
      </c>
      <c r="E40" s="47"/>
      <c r="F40" s="68"/>
    </row>
    <row r="41" spans="1:6" ht="15">
      <c r="A41" s="52" t="s">
        <v>140</v>
      </c>
      <c r="B41" s="53">
        <v>8909801501</v>
      </c>
      <c r="C41" s="79">
        <v>128354046</v>
      </c>
      <c r="E41" s="47"/>
      <c r="F41" s="68"/>
    </row>
    <row r="42" spans="1:6" ht="15">
      <c r="A42" s="54" t="s">
        <v>141</v>
      </c>
      <c r="B42" s="53">
        <v>8002479401</v>
      </c>
      <c r="C42" s="79">
        <v>122853105</v>
      </c>
      <c r="E42" s="47"/>
      <c r="F42" s="68"/>
    </row>
    <row r="43" spans="1:6" ht="15">
      <c r="A43" s="54" t="s">
        <v>142</v>
      </c>
      <c r="B43" s="53">
        <v>8917019320</v>
      </c>
      <c r="C43" s="79">
        <v>159276571</v>
      </c>
      <c r="D43" s="59"/>
      <c r="E43" s="47"/>
      <c r="F43" s="68"/>
    </row>
    <row r="44" spans="1:6" ht="15">
      <c r="A44" s="54" t="s">
        <v>143</v>
      </c>
      <c r="B44" s="53">
        <v>8908026784</v>
      </c>
      <c r="C44" s="79">
        <v>128187289</v>
      </c>
      <c r="E44" s="47"/>
      <c r="F44" s="68"/>
    </row>
    <row r="45" spans="1:6" ht="15">
      <c r="A45" s="54" t="s">
        <v>144</v>
      </c>
      <c r="B45" s="53">
        <v>8001240234</v>
      </c>
      <c r="C45" s="79">
        <v>171714544</v>
      </c>
      <c r="E45" s="47"/>
      <c r="F45" s="68"/>
    </row>
    <row r="46" spans="1:6" ht="15">
      <c r="A46" s="54" t="s">
        <v>145</v>
      </c>
      <c r="B46" s="53">
        <v>8909801531</v>
      </c>
      <c r="C46" s="79">
        <v>494392467</v>
      </c>
      <c r="E46" s="47"/>
      <c r="F46" s="68"/>
    </row>
    <row r="47" spans="1:6" ht="15">
      <c r="A47" s="54" t="s">
        <v>84</v>
      </c>
      <c r="B47" s="53">
        <v>8904800545</v>
      </c>
      <c r="C47" s="79">
        <v>207704043</v>
      </c>
      <c r="E47" s="47"/>
      <c r="F47" s="68"/>
    </row>
    <row r="48" spans="1:6" ht="15">
      <c r="A48" s="54" t="s">
        <v>146</v>
      </c>
      <c r="B48" s="53">
        <v>8020110655</v>
      </c>
      <c r="C48" s="79">
        <v>167905996</v>
      </c>
      <c r="E48" s="47"/>
      <c r="F48" s="68"/>
    </row>
    <row r="49" spans="1:6" ht="15">
      <c r="A49" s="54" t="s">
        <v>90</v>
      </c>
      <c r="B49" s="53">
        <v>8905015784</v>
      </c>
      <c r="C49" s="79">
        <v>174590931</v>
      </c>
      <c r="E49" s="47"/>
      <c r="F49" s="68"/>
    </row>
    <row r="50" spans="1:6" ht="15">
      <c r="A50" s="54" t="s">
        <v>91</v>
      </c>
      <c r="B50" s="53">
        <v>8919028110</v>
      </c>
      <c r="C50" s="79">
        <v>222657248</v>
      </c>
      <c r="E50" s="47"/>
      <c r="F50" s="68"/>
    </row>
    <row r="51" spans="1:6" ht="15">
      <c r="A51" s="55"/>
      <c r="B51" s="55"/>
      <c r="C51" s="51">
        <f>SUM(C37:C50)</f>
        <v>2906176947</v>
      </c>
      <c r="E51" s="47"/>
      <c r="F51" s="68"/>
    </row>
    <row r="52" spans="1:6" ht="15">
      <c r="A52" s="55"/>
      <c r="B52" s="55"/>
      <c r="C52" s="47">
        <f>+E36+C51</f>
        <v>166384391584</v>
      </c>
      <c r="E52" s="47"/>
      <c r="F52" s="80">
        <f>+E52-C52</f>
        <v>-166384391584</v>
      </c>
    </row>
    <row r="53" spans="1:6" ht="15">
      <c r="A53" s="55"/>
      <c r="B53" s="55"/>
      <c r="C53" s="62" t="s">
        <v>147</v>
      </c>
      <c r="E53" s="47"/>
      <c r="F53" s="68"/>
    </row>
    <row r="54" spans="1:6" ht="48.75">
      <c r="A54" s="56" t="s">
        <v>148</v>
      </c>
      <c r="B54" s="57">
        <v>8999990633</v>
      </c>
      <c r="C54" s="46">
        <v>10265689102</v>
      </c>
      <c r="D54" s="48"/>
      <c r="E54" s="47"/>
      <c r="F54" s="68"/>
    </row>
    <row r="55" spans="1:5" ht="36.75">
      <c r="A55" s="56" t="s">
        <v>149</v>
      </c>
      <c r="B55" s="57">
        <v>8915003192</v>
      </c>
      <c r="C55" s="46">
        <v>1076432590</v>
      </c>
      <c r="D55" s="46"/>
      <c r="E55" s="47"/>
    </row>
    <row r="56" spans="1:5" ht="36.75">
      <c r="A56" s="56" t="s">
        <v>150</v>
      </c>
      <c r="B56" s="58">
        <v>8908010630</v>
      </c>
      <c r="C56" s="46">
        <v>992908558</v>
      </c>
      <c r="D56" s="46"/>
      <c r="E56" s="47"/>
    </row>
    <row r="57" spans="1:5" ht="36.75">
      <c r="A57" s="56" t="s">
        <v>151</v>
      </c>
      <c r="B57" s="58">
        <v>8910800313</v>
      </c>
      <c r="C57" s="46">
        <v>1719875144</v>
      </c>
      <c r="D57" s="46"/>
      <c r="E57" s="47"/>
    </row>
    <row r="58" spans="1:5" ht="48.75">
      <c r="A58" s="56" t="s">
        <v>152</v>
      </c>
      <c r="B58" s="58">
        <v>8916800894</v>
      </c>
      <c r="C58" s="46">
        <v>95786696</v>
      </c>
      <c r="D58" s="46"/>
      <c r="E58" s="47"/>
    </row>
    <row r="59" spans="1:5" ht="49.5" thickBot="1">
      <c r="A59" s="56" t="s">
        <v>153</v>
      </c>
      <c r="B59" s="58">
        <v>8914800359</v>
      </c>
      <c r="C59" s="78">
        <v>264392632</v>
      </c>
      <c r="D59" s="46"/>
      <c r="E59" s="47"/>
    </row>
    <row r="60" spans="1:5" ht="15.75" thickTop="1">
      <c r="A60" s="55"/>
      <c r="B60" s="55"/>
      <c r="C60" s="51">
        <f>SUM(C54:C59)</f>
        <v>14415084722</v>
      </c>
      <c r="E60" s="47"/>
    </row>
    <row r="61" spans="3:6" ht="15">
      <c r="C61" s="51">
        <f>+C60+C36+D36</f>
        <v>177893299359</v>
      </c>
      <c r="E61" s="47"/>
      <c r="F61" s="47"/>
    </row>
    <row r="62" spans="3:5" ht="15">
      <c r="C62" s="47">
        <f>+C61+C51</f>
        <v>180799476306</v>
      </c>
      <c r="E62" s="47"/>
    </row>
    <row r="63" ht="15">
      <c r="C63" s="59"/>
    </row>
    <row r="64" ht="15">
      <c r="C64" s="47">
        <f>+C62+C63</f>
        <v>180799476306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191</v>
      </c>
      <c r="C1" s="8" t="s">
        <v>2</v>
      </c>
      <c r="D1" s="9" t="s">
        <v>3</v>
      </c>
      <c r="E1" t="s">
        <v>160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94</v>
      </c>
      <c r="F2" t="s">
        <v>95</v>
      </c>
      <c r="G2" t="s">
        <v>96</v>
      </c>
      <c r="H2" t="s">
        <v>159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94</v>
      </c>
      <c r="I3" t="s">
        <v>95</v>
      </c>
      <c r="J3" t="s">
        <v>96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1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11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13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164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15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17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18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20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22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24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26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27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29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31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33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35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36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38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40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42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43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45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47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49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51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53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54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55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56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58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60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62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64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66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67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69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71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73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75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1">
        <v>8999990633</v>
      </c>
      <c r="B44" s="14">
        <v>899999063</v>
      </c>
      <c r="C44" s="21">
        <v>27400000</v>
      </c>
      <c r="D44" s="24" t="s">
        <v>76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78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80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82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84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86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7">
        <v>8909801121</v>
      </c>
      <c r="B50" s="14">
        <v>890980112</v>
      </c>
      <c r="C50" s="27">
        <v>218805088</v>
      </c>
      <c r="D50" s="28" t="s">
        <v>88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30">
        <v>8905015784</v>
      </c>
      <c r="B51" s="14">
        <v>890501578</v>
      </c>
      <c r="C51" s="31"/>
      <c r="D51" s="32" t="s">
        <v>90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30">
        <v>8919028110</v>
      </c>
      <c r="B52" s="14">
        <v>891902811</v>
      </c>
      <c r="C52" s="77">
        <v>824376000</v>
      </c>
      <c r="D52" s="32" t="s">
        <v>91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2012-11-09T22:17:15Z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